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2"/>
  </bookViews>
  <sheets>
    <sheet name="Zakładka nr 1" sheetId="1" r:id="rId1"/>
    <sheet name="Zakładka nr 2" sheetId="2" r:id="rId2"/>
    <sheet name="Zakładka nr 3" sheetId="3" r:id="rId3"/>
    <sheet name="Zakładka 4" sheetId="4" r:id="rId4"/>
  </sheets>
  <definedNames/>
  <calcPr fullCalcOnLoad="1"/>
</workbook>
</file>

<file path=xl/sharedStrings.xml><?xml version="1.0" encoding="utf-8"?>
<sst xmlns="http://schemas.openxmlformats.org/spreadsheetml/2006/main" count="1634" uniqueCount="540">
  <si>
    <t>L.p.</t>
  </si>
  <si>
    <t>Przedmiot ubezpieczenia</t>
  </si>
  <si>
    <t>Wyposażenie i urządzenia</t>
  </si>
  <si>
    <t>1.</t>
  </si>
  <si>
    <t>2.</t>
  </si>
  <si>
    <t>3.</t>
  </si>
  <si>
    <t>Sprzęt elektroniczny przenośny</t>
  </si>
  <si>
    <t>4.</t>
  </si>
  <si>
    <t>5.</t>
  </si>
  <si>
    <t>6.</t>
  </si>
  <si>
    <t>Sprzęt elektroniczny stacjonarny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</si>
  <si>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</si>
  <si>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</si>
  <si>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</si>
  <si>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</si>
  <si>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</si>
  <si>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</si>
  <si>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</si>
  <si>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</si>
  <si>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</si>
  <si>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</si>
  <si>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</si>
  <si>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</si>
  <si>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</si>
  <si>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</si>
  <si>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</si>
  <si>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</si>
  <si>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</si>
  <si>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</si>
  <si>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</si>
  <si>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</si>
  <si>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</si>
  <si>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</si>
  <si>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</si>
  <si>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</si>
  <si>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</si>
  <si>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38.</t>
  </si>
  <si>
    <t>Kserokopiarki i urządzenia wielofunkcyjne</t>
  </si>
  <si>
    <t xml:space="preserve">Materiał </t>
  </si>
  <si>
    <t>ścian</t>
  </si>
  <si>
    <t>stropów</t>
  </si>
  <si>
    <t>kostrukcji dachu</t>
  </si>
  <si>
    <t>pokrycje dachu</t>
  </si>
  <si>
    <t>cegła</t>
  </si>
  <si>
    <t>-</t>
  </si>
  <si>
    <t>blacha</t>
  </si>
  <si>
    <t>Rok budowy</t>
  </si>
  <si>
    <t>beton</t>
  </si>
  <si>
    <t>Nr rej.</t>
  </si>
  <si>
    <t>Rodzaj</t>
  </si>
  <si>
    <t>Nr nadwozia</t>
  </si>
  <si>
    <t>papa</t>
  </si>
  <si>
    <t>Suma ubezpieczenia</t>
  </si>
  <si>
    <t>murowany</t>
  </si>
  <si>
    <t>Liczba miejsc</t>
  </si>
  <si>
    <t>Aktualna suma AC</t>
  </si>
  <si>
    <t>OC</t>
  </si>
  <si>
    <t>AC</t>
  </si>
  <si>
    <t>NNW</t>
  </si>
  <si>
    <t>Ubezpieczający</t>
  </si>
  <si>
    <t>Ubezpieczony</t>
  </si>
  <si>
    <t>betonowe</t>
  </si>
  <si>
    <t>strpodachu</t>
  </si>
  <si>
    <t>drewniany</t>
  </si>
  <si>
    <t>betonowy</t>
  </si>
  <si>
    <t>eternit</t>
  </si>
  <si>
    <t>19.</t>
  </si>
  <si>
    <t>Sprzet elektorniczny przenośny</t>
  </si>
  <si>
    <t>Budynek szkoły</t>
  </si>
  <si>
    <t>Rok prod.</t>
  </si>
  <si>
    <t>pojemność / ładowność</t>
  </si>
  <si>
    <t>1. Urząd Miejski</t>
  </si>
  <si>
    <t>Budynek Kowala I, sklep</t>
  </si>
  <si>
    <t>Budynek OSP Kowala II</t>
  </si>
  <si>
    <t>Budynek OSP Obliżniak</t>
  </si>
  <si>
    <t>Budynek OSP P-wa Wieś</t>
  </si>
  <si>
    <t>Budynek OSP Kowala I</t>
  </si>
  <si>
    <t>blacha trapezowa</t>
  </si>
  <si>
    <t>1971-75</t>
  </si>
  <si>
    <t>1960-1970</t>
  </si>
  <si>
    <t>1976-80</t>
  </si>
  <si>
    <t>blachodachówka</t>
  </si>
  <si>
    <t>Budynek OSP Szczuczki Kol.</t>
  </si>
  <si>
    <t>Budynek OSP Poniatowa</t>
  </si>
  <si>
    <t>Wiata przystankowa profit-4 pl. Konst. 3 maja</t>
  </si>
  <si>
    <t>Witacz</t>
  </si>
  <si>
    <t>Piezometry</t>
  </si>
  <si>
    <t>Oświetlenie ulicy Lubelskiej</t>
  </si>
  <si>
    <t>Ogrodzenie wysypiska</t>
  </si>
  <si>
    <t>Ogrodzenie szkolne Dąbrowa Wr</t>
  </si>
  <si>
    <t>Ogrodzenie Kraczewice</t>
  </si>
  <si>
    <t>Zestaw zabawowy (huśtawka)</t>
  </si>
  <si>
    <t>Strefa rekreacyjna w Poniatowej</t>
  </si>
  <si>
    <t>Myjnia kół pojazdów</t>
  </si>
  <si>
    <t>Fontanna pływająca</t>
  </si>
  <si>
    <t>Telebim ekran</t>
  </si>
  <si>
    <t>Wyposażenie i urzadzenia</t>
  </si>
  <si>
    <t>42.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</si>
  <si>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</si>
  <si>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</si>
  <si>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</si>
  <si>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</si>
  <si>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</si>
  <si>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</si>
  <si>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</si>
  <si>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</si>
  <si>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</si>
  <si>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</si>
  <si>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</si>
  <si>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</si>
  <si>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</si>
  <si>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59.</t>
  </si>
  <si>
    <t>61.</t>
  </si>
  <si>
    <t>62.</t>
  </si>
  <si>
    <t>63.</t>
  </si>
  <si>
    <t>64.</t>
  </si>
  <si>
    <t>66.</t>
  </si>
  <si>
    <t>sprzęt elektroniczny stacjonarny</t>
  </si>
  <si>
    <t>sprzęt elektroniczny przenośny</t>
  </si>
  <si>
    <t>Centrale telefoniczne</t>
  </si>
  <si>
    <t>Klimatyzatory</t>
  </si>
  <si>
    <t>monitoring</t>
  </si>
  <si>
    <t>2. Centrum Kultury, Promocji i Turystyki</t>
  </si>
  <si>
    <t>kamień</t>
  </si>
  <si>
    <t>blacha/eternit</t>
  </si>
  <si>
    <t>suporeks</t>
  </si>
  <si>
    <t>Budynek stacji trafo T-2 ul. Lubelska wraz z wyposażeniem</t>
  </si>
  <si>
    <t>Budynek stacji trafo T-10 os. Młynki wraz z wyposażeniem</t>
  </si>
  <si>
    <t>blacha ocynkowana</t>
  </si>
  <si>
    <t>Sprzęt nagłaśniający</t>
  </si>
  <si>
    <t>3. Miejsko - Gminna Biblioteka Publiczna w Poniatowej</t>
  </si>
  <si>
    <t>Brak majątku ubezpieczonego system sum stałych</t>
  </si>
  <si>
    <t>4. Miejsko Gminny Zespół do spraw Obsługi Oświaty w Poniatowej</t>
  </si>
  <si>
    <t>5. Ośrodek Pomocy Społecznej w Poniatowej</t>
  </si>
  <si>
    <t>Budynek kontener mieszkalny</t>
  </si>
  <si>
    <t>6. Ośrodek Sportu i Rekreacji w Poniatowej</t>
  </si>
  <si>
    <t>Kryta pływalnia</t>
  </si>
  <si>
    <t>Trybuny stadion</t>
  </si>
  <si>
    <t>Zjeżdżalnia nad zalewem</t>
  </si>
  <si>
    <t>Boisko Orlik 2012 Sz. P. Poniatowa</t>
  </si>
  <si>
    <t>Boisko sportowe ul. Kraczewicka</t>
  </si>
  <si>
    <t>Plac zabaw</t>
  </si>
  <si>
    <t>Wyposażenia i urządzenia (w tym kosiarki)</t>
  </si>
  <si>
    <t>Tablica wyników sportowych</t>
  </si>
  <si>
    <t>Terminal mobilny</t>
  </si>
  <si>
    <t>Monitoring</t>
  </si>
  <si>
    <t>7. Dom Muzyki w Kraczewicach</t>
  </si>
  <si>
    <t>Pałac</t>
  </si>
  <si>
    <t>Wiata</t>
  </si>
  <si>
    <t>Klinkier</t>
  </si>
  <si>
    <t>Ogrodzenie</t>
  </si>
  <si>
    <t>Osłonka śmietnikowa</t>
  </si>
  <si>
    <t>Oświetlenie w parku</t>
  </si>
  <si>
    <t>8. Przedszkole Miejskie w Poniatowej</t>
  </si>
  <si>
    <t>murowane</t>
  </si>
  <si>
    <t>papa termozgrzewalna</t>
  </si>
  <si>
    <t>Wyposażenia placów zabaw</t>
  </si>
  <si>
    <t>9. Szkoła Podstawowa im. Marii Konopnickiej w Kraczewicach</t>
  </si>
  <si>
    <t>Budynek Szkolny</t>
  </si>
  <si>
    <t>Ogrodzenie szkolne</t>
  </si>
  <si>
    <t>Wyposażenia i urządzenia</t>
  </si>
  <si>
    <t>Plac zabaw Maluch</t>
  </si>
  <si>
    <t>10. Szkoła Podstawowa im. Stefana Żeromskego w Poniatowej</t>
  </si>
  <si>
    <t>Budynek przedszkolny</t>
  </si>
  <si>
    <t>Plac zabawowy</t>
  </si>
  <si>
    <t>Budynek szkolny</t>
  </si>
  <si>
    <t>Budynek gospodarczy</t>
  </si>
  <si>
    <t>Zestaw zabawowy</t>
  </si>
  <si>
    <t xml:space="preserve">Marka </t>
  </si>
  <si>
    <t>Model</t>
  </si>
  <si>
    <t>Mercedes-Benz</t>
  </si>
  <si>
    <t>MB 100</t>
  </si>
  <si>
    <t>Specjalny pożarniczy</t>
  </si>
  <si>
    <t>VSA63133413117699</t>
  </si>
  <si>
    <t>Gmina Poniatowa</t>
  </si>
  <si>
    <t>Urząd Miejski w Poniatowej</t>
  </si>
  <si>
    <t>Jelcz</t>
  </si>
  <si>
    <t>004</t>
  </si>
  <si>
    <t>SUJ325DS0H0014664</t>
  </si>
  <si>
    <t>Daimler-Benz</t>
  </si>
  <si>
    <t>LF 408 G</t>
  </si>
  <si>
    <t>2172/610</t>
  </si>
  <si>
    <t>315 MS</t>
  </si>
  <si>
    <t>11100/5890</t>
  </si>
  <si>
    <t>0529</t>
  </si>
  <si>
    <t>Peugeot</t>
  </si>
  <si>
    <t>Boxer 2.5 D</t>
  </si>
  <si>
    <t>VF3232B5215267412</t>
  </si>
  <si>
    <t>Ford</t>
  </si>
  <si>
    <t>Transit</t>
  </si>
  <si>
    <t>WF0XXXTTFXBS87944</t>
  </si>
  <si>
    <t>OSP w Kraczewicach</t>
  </si>
  <si>
    <t xml:space="preserve">IFA </t>
  </si>
  <si>
    <t>DL 30</t>
  </si>
  <si>
    <t>Jelcz/Star</t>
  </si>
  <si>
    <t>005 M</t>
  </si>
  <si>
    <t>6842/3500</t>
  </si>
  <si>
    <t>SUSFBCAT2SA012496</t>
  </si>
  <si>
    <t>005</t>
  </si>
  <si>
    <t>OSP w Niezabitowie</t>
  </si>
  <si>
    <t>WSK-Krosno</t>
  </si>
  <si>
    <t>BSL ACM 18</t>
  </si>
  <si>
    <t>Naczepa ciężarowa</t>
  </si>
  <si>
    <t>Volkswagen</t>
  </si>
  <si>
    <t>Transporter</t>
  </si>
  <si>
    <t>Samochód osobowy</t>
  </si>
  <si>
    <t>WV2ZZZ70ZMH024648</t>
  </si>
  <si>
    <t>FSC-Starachowice</t>
  </si>
  <si>
    <t>Star P 244L</t>
  </si>
  <si>
    <t>Samochód specjalny</t>
  </si>
  <si>
    <t>08531</t>
  </si>
  <si>
    <t>11100/6000</t>
  </si>
  <si>
    <t>PW-6 STA</t>
  </si>
  <si>
    <t>Przyczepa lekka</t>
  </si>
  <si>
    <t>Star 200</t>
  </si>
  <si>
    <t>6842/6000</t>
  </si>
  <si>
    <t>FSO</t>
  </si>
  <si>
    <t>Żuk A 07J 075</t>
  </si>
  <si>
    <t>Samochód ciężarowy</t>
  </si>
  <si>
    <t>2417/215</t>
  </si>
  <si>
    <t>SUL00721JW0587817</t>
  </si>
  <si>
    <t>976,37 ATEGO 1529 AF</t>
  </si>
  <si>
    <t>WDB9763741L788511</t>
  </si>
  <si>
    <t>408G LF</t>
  </si>
  <si>
    <t>2172/2105</t>
  </si>
  <si>
    <t>Urząd Miasta Poniatowa</t>
  </si>
  <si>
    <t>409 2.3</t>
  </si>
  <si>
    <t>2277/2190</t>
  </si>
  <si>
    <t>lata 60 XX w</t>
  </si>
  <si>
    <t>murowwany</t>
  </si>
  <si>
    <t>Budynek szkolny Zofianka wraz z ogrodzeniem, OSP oraz budynek świetlicy wiejskiej</t>
  </si>
  <si>
    <t>Budynek w Kraczewicach Ośrodek Kultury, OSP</t>
  </si>
  <si>
    <t>Budynek szkolny Dąbrowa Wronowska</t>
  </si>
  <si>
    <t>Ubikacje szkolne Dądrowa Wronowska</t>
  </si>
  <si>
    <t>Wyposażenie i urządzenia zakupione w ramach projektu Promocja Gospodarcza Gminy Poniatowa (w tym m. in. słupy ogłoszeniowe i ekran LED)</t>
  </si>
  <si>
    <t>22.</t>
  </si>
  <si>
    <t>33.</t>
  </si>
  <si>
    <t>37.</t>
  </si>
  <si>
    <t>58.</t>
  </si>
  <si>
    <t>65.</t>
  </si>
  <si>
    <t>67.</t>
  </si>
  <si>
    <t>68.</t>
  </si>
  <si>
    <t>Załącznik nr 1e do SIWZ - zakładka nr 2</t>
  </si>
  <si>
    <t>Wykaz majątku do ubezpieczenia sprzętu elektronicznego</t>
  </si>
  <si>
    <t>Załącznik nr 1e do SIWZ - zakładka nr 1</t>
  </si>
  <si>
    <t>Wykaz majątku do ubezpieczenia mienia od wszystkich ryzyk</t>
  </si>
  <si>
    <t>L. p.</t>
  </si>
  <si>
    <t>Załącznik nr 1e do SIWZ zakładka nr 3</t>
  </si>
  <si>
    <t>Wykaz pojazdów do ubezpieczenia</t>
  </si>
  <si>
    <t>Rodzaj wartości</t>
  </si>
  <si>
    <t>WO</t>
  </si>
  <si>
    <t>Budynek gospodarczy nr 4 Niezabitów 79A</t>
  </si>
  <si>
    <t>Budynek gospodarczy nr 5 Niezabitów 79B</t>
  </si>
  <si>
    <t>Budynek CKPiT</t>
  </si>
  <si>
    <t>Budynek Niezabitów (OSP + Centrum Integracji Rodzin)</t>
  </si>
  <si>
    <t>KB</t>
  </si>
  <si>
    <t>Budynek kina "Czyn" Fabryczna</t>
  </si>
  <si>
    <t>Budynek użytkowy ul. Brzozowa 1</t>
  </si>
  <si>
    <t>2 Lokale Niezabitów 79A</t>
  </si>
  <si>
    <t>Lokal Niezabitów 79B</t>
  </si>
  <si>
    <t>Lokale mieszkalne Kolonia Poniatowa (2 lokale)</t>
  </si>
  <si>
    <t>Wiata przystankowa ul. Lubelska</t>
  </si>
  <si>
    <t>Sprzęt przenośny</t>
  </si>
  <si>
    <t>Fax</t>
  </si>
  <si>
    <t>Centrale telefoniczne i aparaty telefoniczne</t>
  </si>
  <si>
    <t>Elektroniczna obsługa Klienta</t>
  </si>
  <si>
    <t>zestaw nagłaśniający</t>
  </si>
  <si>
    <t>Tablice interaktywne</t>
  </si>
  <si>
    <t>Centrale telefoniczne, faksy</t>
  </si>
  <si>
    <t>Tablice multimedialne</t>
  </si>
  <si>
    <t xml:space="preserve">Renault </t>
  </si>
  <si>
    <t>M180</t>
  </si>
  <si>
    <t>VF6JS00A000009597</t>
  </si>
  <si>
    <t xml:space="preserve">Ochotnicza Straż Pożarna w Kowali II
</t>
  </si>
  <si>
    <t>MDB3</t>
  </si>
  <si>
    <t>VF640K868HB000570</t>
  </si>
  <si>
    <t xml:space="preserve">Gmina Poniatowa
</t>
  </si>
  <si>
    <t xml:space="preserve">Ochotnicza Straż Pożarna w Poniatowa- Miasto
</t>
  </si>
  <si>
    <t>40.</t>
  </si>
  <si>
    <t>60.</t>
  </si>
  <si>
    <t>Oświetlenie drogowe ul. Fabryczna-Nałęczowska</t>
  </si>
  <si>
    <t>cegła murowana</t>
  </si>
  <si>
    <t>płyta warstwowa</t>
  </si>
  <si>
    <t>Boisko wielofunkcyjne ul. Kraczewicka</t>
  </si>
  <si>
    <t>Plac zabaw ul. 1 maja</t>
  </si>
  <si>
    <t>Place zabaw ul. Sosnowa i ul. Szkolna</t>
  </si>
  <si>
    <t>Wyposażenia i urządzenia (w tym sprzęt muzyczny)</t>
  </si>
  <si>
    <t>Kia</t>
  </si>
  <si>
    <t>Prego Giovan</t>
  </si>
  <si>
    <t>osobowy</t>
  </si>
  <si>
    <t>Dom Muzyki w Kraczewicach</t>
  </si>
  <si>
    <t>Budynek przedszkolny, ul. Szkolna 7 wraz z ogrodzeniem</t>
  </si>
  <si>
    <t>Budynek Przedszkolny, ul. Szkolna 8 wraz z ogrodzeniem</t>
  </si>
  <si>
    <t>Ogrodzenie z siatki</t>
  </si>
  <si>
    <t>Budynek szkoły ul. Szkolna 9</t>
  </si>
  <si>
    <t>Budynek szkolny ul. Szkolna 8</t>
  </si>
  <si>
    <t>Garaż wolnostojący ul. Szkolna 9</t>
  </si>
  <si>
    <t>Garaż przy budynku ul. Szkolna 9</t>
  </si>
  <si>
    <t>Ogrodzenie szkolne ul. Szkolna 9</t>
  </si>
  <si>
    <t>Ogrodzenie szkolne ul. Szkolna 8</t>
  </si>
  <si>
    <t>Budynek żłobka ul. Szkolna 8A</t>
  </si>
  <si>
    <t>11. Szkoła Podstawowa w Kowali</t>
  </si>
  <si>
    <t>12. Szkoła Podstawowa Niezabitowie</t>
  </si>
  <si>
    <t>13. Szkoła Podstawowa w Poniatowej Kolonii</t>
  </si>
  <si>
    <t>14. Żłobek Miejski w Poniatowej</t>
  </si>
  <si>
    <t>b</t>
  </si>
  <si>
    <t>l</t>
  </si>
  <si>
    <t>bud</t>
  </si>
  <si>
    <t>w</t>
  </si>
  <si>
    <t>69.</t>
  </si>
  <si>
    <t>p</t>
  </si>
  <si>
    <t>s</t>
  </si>
  <si>
    <t>Budynki</t>
  </si>
  <si>
    <t>Budowle</t>
  </si>
  <si>
    <t>Lokale mieszkalne i użytkowe</t>
  </si>
  <si>
    <t>RAZEM</t>
  </si>
  <si>
    <t>Sprzęt stacjonarny</t>
  </si>
  <si>
    <t>LOP08EH</t>
  </si>
  <si>
    <t>LOPL508</t>
  </si>
  <si>
    <t>LOPJ265</t>
  </si>
  <si>
    <t>LOPH886</t>
  </si>
  <si>
    <t>LOP13862</t>
  </si>
  <si>
    <t>LOP19326</t>
  </si>
  <si>
    <t>LOP09890</t>
  </si>
  <si>
    <t>LOPE447</t>
  </si>
  <si>
    <t>LLV4402</t>
  </si>
  <si>
    <t>LOP20KK</t>
  </si>
  <si>
    <t>LOP14607</t>
  </si>
  <si>
    <t>LLV6371</t>
  </si>
  <si>
    <t>LOPA425</t>
  </si>
  <si>
    <t>LOPS135</t>
  </si>
  <si>
    <t>LLV6037</t>
  </si>
  <si>
    <t>LOP24327</t>
  </si>
  <si>
    <t>LOP25663</t>
  </si>
  <si>
    <t>LOP65EV</t>
  </si>
  <si>
    <t>LOP69AU</t>
  </si>
  <si>
    <t>LOP35530</t>
  </si>
  <si>
    <t>LOP42777</t>
  </si>
  <si>
    <t>LOPJ906</t>
  </si>
  <si>
    <t>LOP15722</t>
  </si>
  <si>
    <t xml:space="preserve">Jelcz </t>
  </si>
  <si>
    <t>LOP46145</t>
  </si>
  <si>
    <t>Volvo</t>
  </si>
  <si>
    <t>FH12</t>
  </si>
  <si>
    <t>YV2A4DMA6YB270035</t>
  </si>
  <si>
    <t>Tourneo</t>
  </si>
  <si>
    <t>WF0HXXTTPH8A44201</t>
  </si>
  <si>
    <t>LOP47998</t>
  </si>
  <si>
    <t>FLD3C</t>
  </si>
  <si>
    <t>specjalny pożarniczy</t>
  </si>
  <si>
    <t>7698/-</t>
  </si>
  <si>
    <t>YV02T0Y1BXLZ128666</t>
  </si>
  <si>
    <t>OSP Niezabitowie</t>
  </si>
  <si>
    <t>OSP Poniatowa - Miasto</t>
  </si>
  <si>
    <t>OSP Kraczewice Prywatne</t>
  </si>
  <si>
    <t>Budynek OSP Spławy i świetlica</t>
  </si>
  <si>
    <t>Budynek OSP Klub Kultury Dąbrowa Wronowska</t>
  </si>
  <si>
    <t>Budynek  Wysypisko</t>
  </si>
  <si>
    <t>Budynki sportowe-klub MKS Stal (budynek socjalny, ubikacja, pawilon sportowy)</t>
  </si>
  <si>
    <t>Budynek szatniowy LZS Kowala II</t>
  </si>
  <si>
    <t>2 Lokale Niezabitów 79C</t>
  </si>
  <si>
    <t>Budynek Urzedu Miejskiego ul Młodzieżowa 2</t>
  </si>
  <si>
    <t>Garaże ul. Bema (5 sztuk)</t>
  </si>
  <si>
    <t>Budynek handlowy ul. Modrzewiowa 4</t>
  </si>
  <si>
    <t>Budynek gospodarczy -izolatka, budynki garażowe (szt. 2) Kraczewice</t>
  </si>
  <si>
    <t>Budynek gospodarczy parterowy KGW Kraczewice</t>
  </si>
  <si>
    <t>kamień, cegła</t>
  </si>
  <si>
    <t>Klub Kultury Poniatowa Wieś</t>
  </si>
  <si>
    <t>murowana</t>
  </si>
  <si>
    <t>Lokal mieszkalny ul. Fabryczna 15/51</t>
  </si>
  <si>
    <t>Garaż na wóz bojowy Zofianka</t>
  </si>
  <si>
    <t>Lokale mieszkalne ul. 11 Listopada 7 (7 lokali)</t>
  </si>
  <si>
    <t>Lokale mieszkalne ul. 11 Listopada 9 (7 lokali)</t>
  </si>
  <si>
    <t>Lokale mieszklane ul. 11 Listopada 10 (4 lokale)</t>
  </si>
  <si>
    <t>Lokale mieszkalne 11 Listopada 11 (4 lokale)</t>
  </si>
  <si>
    <t>Lokale mieszkalne ul. 11 Listopada 12 (2 lokale)</t>
  </si>
  <si>
    <t>Lokale mieszklane ul. 11 Listopada 13 (5 lokali)</t>
  </si>
  <si>
    <t>Lokale mieszkalne ul. 11 Listopada 15 (3 lokale)</t>
  </si>
  <si>
    <t>Lokale mieszkalne ul. 11 Listopada 17 (5 lokali)</t>
  </si>
  <si>
    <t>Lokale mieszkalne ul. 11 Listopada 19 (15 lokali)</t>
  </si>
  <si>
    <t>Lokale mieszkalne ul. Modrzewiowa 3 (5 lokali)</t>
  </si>
  <si>
    <t>Lokale mieszkalne ul. Modrzewiowa 5 (8 lokali)</t>
  </si>
  <si>
    <t>Lokale mieszkalne ul. Modrzewiowa 6 (3 lokale)</t>
  </si>
  <si>
    <t>Lokal mieszkalny ul. Modrzewiowa 10 (1 lokal)</t>
  </si>
  <si>
    <t>Lokale mieszkalne ul. Modrzewiowa 11 (2 lokale)</t>
  </si>
  <si>
    <t>Lokal mieszkalny ul. Modrzewiowa 12 (1 lokal)</t>
  </si>
  <si>
    <t>Lokal mieszkalny ul. Modrzewiowa 13 (1 lokal)</t>
  </si>
  <si>
    <t>Lokale mieszklane ul. Modrzewiowa 15 (3 lokale)</t>
  </si>
  <si>
    <t>Lokale mieszkalne ul. 1 Maja 2 (5 lokali)</t>
  </si>
  <si>
    <t>Lokale mieszkalne i usługowe ul. 1 Maja 4 (5 lokali)</t>
  </si>
  <si>
    <t>Lokale mieszkalne i usługowe ul. 1 Maja 6 (12 lokali)</t>
  </si>
  <si>
    <t>Lokale mieszkalne i usługowe ul. 1 Maja 8 (6 lokali)</t>
  </si>
  <si>
    <t>Lokale mieszkalne ul. 1 Maja 9 (5 lokali)</t>
  </si>
  <si>
    <t>Lokale mieszkalne ul. Żeromskiego 2 (4 lokale)</t>
  </si>
  <si>
    <t>Lokal mieszkalny ul. Żeromskiego 3 (1 lokal)</t>
  </si>
  <si>
    <t>Lokale mieszkalne ul. Żeromskiego 5 (2 lokale)</t>
  </si>
  <si>
    <t>Lokale mieszkalne ul. Żeromskiego 6 (2 lokale)</t>
  </si>
  <si>
    <t>Lokale mieszkalne ul. Słoneczna 2 (6 lokali)</t>
  </si>
  <si>
    <t>Lokale mieszkalne i użytkowe ul. Słoneczna 3 (5 lokali)</t>
  </si>
  <si>
    <t>Lokal mieszkalny ul. Słoneczna 4 (1 lokal)</t>
  </si>
  <si>
    <t>Lokale mieszkalne ul. Słoneczna 5 (3 lokale)</t>
  </si>
  <si>
    <t>Lokal mieszkalny ul. Słoneczna 6 (1 lokal)</t>
  </si>
  <si>
    <t>Lokal mieszkalny ul. Słoneczna 7 (1 lokal)</t>
  </si>
  <si>
    <t>Lokale mieszkalne i użytkowe ul. Młodzieżowa 3 (6 lokali)</t>
  </si>
  <si>
    <t>Lokal mieszkalny  ul. Młodzieżowa 8 (6 lokali)</t>
  </si>
  <si>
    <t>Lokale mieszkalne i użytkowe ul. Młodzieżowa 10 (8 lokali)</t>
  </si>
  <si>
    <t>Lokale mieszkalne ul. Bema 2 (2 lokale)</t>
  </si>
  <si>
    <t>Lokale mieszkalne ul. Bema 4 (2 lokale)</t>
  </si>
  <si>
    <t>Lokale mieszkalne i użytkowe ul. Nałęczowska 2 (14 lokali)</t>
  </si>
  <si>
    <t>Lokale mieszkalne i użytkowe ul. Nałęczowska 6 (16 lokali)</t>
  </si>
  <si>
    <t>Lokale mieszkalne ul. Szkolna 7a (10 lokali)</t>
  </si>
  <si>
    <t>Lokale mieszkalne ul. Fabryczna 4  (28 lokali)</t>
  </si>
  <si>
    <t>Lokale użytkowe ul. Modrzewiowa 4  (4 lokale)</t>
  </si>
  <si>
    <t>Ogrodzenie OSP Kraczewice</t>
  </si>
  <si>
    <t>Oświetlenie terenu wysypiska</t>
  </si>
  <si>
    <t>Skatepark ul. Szkolna</t>
  </si>
  <si>
    <t>Oświetlenie uliczne Poniatowa Wies</t>
  </si>
  <si>
    <t>Boisko w Kraczewicach Prywatne</t>
  </si>
  <si>
    <t xml:space="preserve">Kładka przy zbiorniku wodnym zalew w centrum Miasta, kostrukcja nośna stal z pomostem drewnianym. </t>
  </si>
  <si>
    <t>Punkt Selektywnej Zbiórki odpadów</t>
  </si>
  <si>
    <t>Napis Poniatowa (konstrukcja stalowa) - zalew centrum Miasta Poniatowa</t>
  </si>
  <si>
    <t>Siłownia zewnętrzna (teren krytej pływalni)</t>
  </si>
  <si>
    <t>Huśtawka przy Szkole w Dąbrowie Wrońskiej</t>
  </si>
  <si>
    <t>Pomnik - migiła pomordowanych</t>
  </si>
  <si>
    <t>Oświetlenie ul. Wylotowa</t>
  </si>
  <si>
    <t>Ławka niepodległości</t>
  </si>
  <si>
    <t>Plac zabaw przy zbiornikach wodnych</t>
  </si>
  <si>
    <t>Otwarta strefa aktywności</t>
  </si>
  <si>
    <t>Pomost przy zbiorniku wodnym w Centrum Miasta</t>
  </si>
  <si>
    <t>Instalacje solarne na budynku CKPiT</t>
  </si>
  <si>
    <t>sol</t>
  </si>
  <si>
    <t>Winda budynek UM Poniatowa</t>
  </si>
  <si>
    <t>Platforma wewnętrzna budynek CKPIT</t>
  </si>
  <si>
    <t>Schodołaz</t>
  </si>
  <si>
    <t>Centrala ppoż w CKPIT</t>
  </si>
  <si>
    <t xml:space="preserve">Oświetlenia i systemu telewizji dozorowej z systemem zliczania wykonanych w ramach zadania pn Remont zbiorników wodnych w ramach projektu " Poniatowa - kraina zdrowego oddechu" </t>
  </si>
  <si>
    <t>Sprzęt fitness zakupionego w ramach projektu Rewitalizacja Poniatowej szansą na ożywienie społeczno - gospodarcze Gminy Poniatowa</t>
  </si>
  <si>
    <t>LOP48940</t>
  </si>
  <si>
    <t>LOP51200</t>
  </si>
  <si>
    <t>Man</t>
  </si>
  <si>
    <t>TGM 13.290</t>
  </si>
  <si>
    <t>WMAN37ZZ4LY413376</t>
  </si>
  <si>
    <t>LOP46646</t>
  </si>
  <si>
    <t>VF33E9HC84958140</t>
  </si>
  <si>
    <t>OSP Kowala I</t>
  </si>
  <si>
    <t>Instalacje solarne na budynkach użyteczności publicznej</t>
  </si>
  <si>
    <t>35.</t>
  </si>
  <si>
    <t>36.</t>
  </si>
  <si>
    <t>39.</t>
  </si>
  <si>
    <t>41.</t>
  </si>
  <si>
    <t>43.</t>
  </si>
  <si>
    <t>44.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</si>
  <si>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</si>
  <si>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</si>
  <si>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</si>
  <si>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</si>
  <si>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</si>
  <si>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</si>
  <si>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</si>
  <si>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</si>
  <si>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</si>
  <si>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</si>
  <si>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</si>
  <si>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</si>
  <si>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</si>
  <si>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</si>
  <si>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</si>
  <si>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</si>
  <si>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</si>
  <si>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</si>
  <si>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</si>
  <si>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</si>
  <si>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</si>
  <si>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</si>
  <si>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</si>
  <si>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</si>
  <si>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</si>
  <si>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</si>
  <si>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</si>
  <si>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</si>
  <si>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</si>
  <si>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</si>
  <si>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</si>
  <si>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</si>
  <si>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</si>
  <si>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</si>
  <si>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</si>
  <si>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</si>
  <si>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</si>
  <si>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</si>
  <si>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</si>
  <si>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</si>
  <si>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</si>
  <si>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</si>
  <si>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</si>
  <si>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</si>
  <si>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</si>
  <si>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</si>
  <si>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</si>
  <si>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</si>
  <si>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</si>
  <si>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</si>
  <si>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25.05.2021 24.05.2023</t>
  </si>
  <si>
    <t>01.01.2021 31.12.2022</t>
  </si>
  <si>
    <t>04.06.2021 03.06.2023</t>
  </si>
  <si>
    <t>15.05.2021 14.05.2023</t>
  </si>
  <si>
    <t>06.06.2021 05.06.2023</t>
  </si>
  <si>
    <t>09.10.2021 08.10.2023</t>
  </si>
  <si>
    <t>21.06.2021 20.06.2023</t>
  </si>
  <si>
    <t>24.10.2021 23.10.2023</t>
  </si>
  <si>
    <t>24.10.2021 23.10.2024</t>
  </si>
  <si>
    <t>24.10.2021 23.10.2025</t>
  </si>
  <si>
    <t>02.12.2021 01.12.2023</t>
  </si>
  <si>
    <t>23.08.2021 22.08.2023</t>
  </si>
  <si>
    <t>19.02.2021 18.02.2023</t>
  </si>
  <si>
    <t>12.12.2021 11.12.2023</t>
  </si>
  <si>
    <t>07.10.2021 06.10.2023</t>
  </si>
  <si>
    <t>17.02.2021 16.02.2023</t>
  </si>
  <si>
    <t>Dotychczasowy przebieg ubezpieczeń</t>
  </si>
  <si>
    <t>Rodzaj ubezpieczenia</t>
  </si>
  <si>
    <t>Ilość szkód</t>
  </si>
  <si>
    <t>Wysokość odszkodowania</t>
  </si>
  <si>
    <t>Mienia od wszystkich ryzyk</t>
  </si>
  <si>
    <t>Sprzęt elektroniczny</t>
  </si>
  <si>
    <t>Odpowiedzialność cywilna</t>
  </si>
  <si>
    <t>Ubezpieczenie instalacji solarnych</t>
  </si>
  <si>
    <t>Ubezpieczenie NNW strażaków</t>
  </si>
  <si>
    <t>OC posiadaczy pojazdów mechanicznych</t>
  </si>
  <si>
    <t>Autocasco</t>
  </si>
  <si>
    <t>NNW komunikacyjne</t>
  </si>
  <si>
    <t>REZERWY</t>
  </si>
  <si>
    <t>Brak</t>
  </si>
  <si>
    <t>Dane aktualne na dzień</t>
  </si>
  <si>
    <t>Załącznik nr 1 e do SIWZ - zakładka nr 4</t>
  </si>
  <si>
    <t>24.09.2020</t>
  </si>
  <si>
    <t>3 168,56 zł</t>
  </si>
  <si>
    <t>4 800,00 zł</t>
  </si>
  <si>
    <t>KNTEB24121K069387</t>
  </si>
  <si>
    <t>ciężarowy</t>
  </si>
  <si>
    <t>17.06.2021 16.06.2023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</si>
</sst>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zł&quot;"/>
    <numFmt numFmtId="180" formatCode="[$-415]d\ mmmm\ yyyy"/>
    <numFmt numFmtId="181" formatCode="#,##0.00\ _z_ł"/>
    <numFmt numFmtId="182" formatCode="#,##0.00&quot; &quot;[$€-407];[Red]&quot;-&quot;#,##0.00&quot; &quot;[$€-407]"/>
    <numFmt numFmtId="183" formatCode="_-* #,##0.00\ [$zł-415]_-;\-* #,##0.00\ [$zł-415]_-;_-* &quot;-&quot;??\ [$zł-415]_-;_-@_-"/>
    <numFmt numFmtId="184" formatCode="0.000"/>
    <numFmt numFmtId="185" formatCode="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0" borderId="0">
      <alignment/>
      <protection/>
    </xf>
    <xf numFmtId="183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3" fillId="33" borderId="10" xfId="0" applyFont="1" applyFill="1" applyBorder="1" applyAlignment="1">
      <alignment horizontal="left"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center" wrapText="1"/>
    </xf>
    <xf numFmtId="174" fontId="24" fillId="0" borderId="10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1" fontId="24" fillId="0" borderId="10" xfId="54" applyNumberFormat="1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1" fontId="24" fillId="0" borderId="10" xfId="54" applyNumberFormat="1" applyFont="1" applyFill="1" applyBorder="1" applyAlignment="1">
      <alignment horizontal="center"/>
      <protection/>
    </xf>
    <xf numFmtId="1" fontId="24" fillId="0" borderId="10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 wrapText="1"/>
    </xf>
    <xf numFmtId="183" fontId="24" fillId="0" borderId="10" xfId="54" applyFont="1" applyFill="1" applyBorder="1" applyAlignment="1">
      <alignment horizontal="center"/>
      <protection/>
    </xf>
    <xf numFmtId="0" fontId="24" fillId="0" borderId="10" xfId="54" applyNumberFormat="1" applyFont="1" applyFill="1" applyBorder="1" applyAlignment="1">
      <alignment horizontal="center"/>
      <protection/>
    </xf>
    <xf numFmtId="0" fontId="24" fillId="0" borderId="10" xfId="0" applyNumberFormat="1" applyFont="1" applyBorder="1" applyAlignment="1">
      <alignment horizontal="center"/>
    </xf>
    <xf numFmtId="174" fontId="24" fillId="0" borderId="10" xfId="0" applyNumberFormat="1" applyFont="1" applyBorder="1" applyAlignment="1">
      <alignment horizontal="right"/>
    </xf>
    <xf numFmtId="183" fontId="24" fillId="0" borderId="10" xfId="54" applyFont="1" applyFill="1" applyBorder="1" applyAlignment="1">
      <alignment horizontal="left" wrapText="1"/>
      <protection/>
    </xf>
    <xf numFmtId="0" fontId="24" fillId="0" borderId="10" xfId="0" applyFont="1" applyBorder="1" applyAlignment="1">
      <alignment wrapText="1"/>
    </xf>
    <xf numFmtId="174" fontId="24" fillId="0" borderId="10" xfId="54" applyNumberFormat="1" applyFont="1" applyFill="1" applyBorder="1" applyAlignment="1">
      <alignment horizontal="right"/>
      <protection/>
    </xf>
    <xf numFmtId="0" fontId="48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183" fontId="24" fillId="0" borderId="10" xfId="54" applyFont="1" applyFill="1" applyBorder="1" applyAlignment="1">
      <alignment horizontal="right"/>
      <protection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174" fontId="25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0" fontId="48" fillId="0" borderId="0" xfId="0" applyFont="1" applyAlignment="1">
      <alignment horizontal="center" wrapText="1"/>
    </xf>
    <xf numFmtId="17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48" fillId="0" borderId="0" xfId="0" applyFont="1" applyAlignment="1">
      <alignment wrapText="1"/>
    </xf>
    <xf numFmtId="174" fontId="48" fillId="0" borderId="0" xfId="0" applyNumberFormat="1" applyFont="1" applyAlignment="1">
      <alignment/>
    </xf>
    <xf numFmtId="0" fontId="25" fillId="0" borderId="0" xfId="0" applyFont="1" applyAlignment="1">
      <alignment horizontal="centerContinuous" wrapText="1"/>
    </xf>
    <xf numFmtId="0" fontId="23" fillId="34" borderId="10" xfId="0" applyFont="1" applyFill="1" applyBorder="1" applyAlignment="1">
      <alignment horizontal="centerContinuous" wrapText="1"/>
    </xf>
    <xf numFmtId="0" fontId="23" fillId="34" borderId="10" xfId="0" applyFont="1" applyFill="1" applyBorder="1" applyAlignment="1">
      <alignment wrapText="1"/>
    </xf>
    <xf numFmtId="174" fontId="23" fillId="34" borderId="10" xfId="0" applyNumberFormat="1" applyFont="1" applyFill="1" applyBorder="1" applyAlignment="1">
      <alignment wrapText="1"/>
    </xf>
    <xf numFmtId="174" fontId="24" fillId="0" borderId="10" xfId="0" applyNumberFormat="1" applyFont="1" applyBorder="1" applyAlignment="1">
      <alignment horizontal="center"/>
    </xf>
    <xf numFmtId="174" fontId="24" fillId="0" borderId="10" xfId="0" applyNumberFormat="1" applyFont="1" applyBorder="1" applyAlignment="1">
      <alignment wrapText="1"/>
    </xf>
    <xf numFmtId="174" fontId="24" fillId="0" borderId="10" xfId="0" applyNumberFormat="1" applyFont="1" applyBorder="1" applyAlignment="1">
      <alignment/>
    </xf>
    <xf numFmtId="0" fontId="24" fillId="35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33" borderId="10" xfId="0" applyFont="1" applyFill="1" applyBorder="1" applyAlignment="1">
      <alignment horizontal="centerContinuous"/>
    </xf>
    <xf numFmtId="0" fontId="23" fillId="33" borderId="10" xfId="0" applyFont="1" applyFill="1" applyBorder="1" applyAlignment="1">
      <alignment horizontal="centerContinuous" wrapText="1"/>
    </xf>
    <xf numFmtId="174" fontId="23" fillId="33" borderId="10" xfId="0" applyNumberFormat="1" applyFont="1" applyFill="1" applyBorder="1" applyAlignment="1">
      <alignment horizontal="centerContinuous"/>
    </xf>
    <xf numFmtId="0" fontId="24" fillId="33" borderId="10" xfId="0" applyFont="1" applyFill="1" applyBorder="1" applyAlignment="1">
      <alignment horizontal="centerContinuous"/>
    </xf>
    <xf numFmtId="0" fontId="24" fillId="33" borderId="10" xfId="0" applyFont="1" applyFill="1" applyBorder="1" applyAlignment="1">
      <alignment horizontal="centerContinuous" wrapText="1"/>
    </xf>
    <xf numFmtId="174" fontId="24" fillId="0" borderId="10" xfId="0" applyNumberFormat="1" applyFont="1" applyFill="1" applyBorder="1" applyAlignment="1">
      <alignment horizontal="center" wrapText="1"/>
    </xf>
    <xf numFmtId="44" fontId="24" fillId="0" borderId="10" xfId="63" applyFont="1" applyFill="1" applyBorder="1" applyAlignment="1">
      <alignment wrapText="1"/>
    </xf>
    <xf numFmtId="174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left" wrapText="1"/>
    </xf>
    <xf numFmtId="0" fontId="23" fillId="33" borderId="10" xfId="0" applyFont="1" applyFill="1" applyBorder="1" applyAlignment="1">
      <alignment wrapText="1"/>
    </xf>
    <xf numFmtId="174" fontId="23" fillId="33" borderId="10" xfId="0" applyNumberFormat="1" applyFont="1" applyFill="1" applyBorder="1" applyAlignment="1">
      <alignment wrapText="1"/>
    </xf>
    <xf numFmtId="8" fontId="24" fillId="0" borderId="10" xfId="0" applyNumberFormat="1" applyFont="1" applyBorder="1" applyAlignment="1">
      <alignment horizontal="center"/>
    </xf>
    <xf numFmtId="44" fontId="24" fillId="0" borderId="0" xfId="63" applyFont="1" applyAlignment="1">
      <alignment/>
    </xf>
    <xf numFmtId="44" fontId="24" fillId="0" borderId="10" xfId="63" applyFont="1" applyBorder="1" applyAlignment="1">
      <alignment wrapText="1"/>
    </xf>
    <xf numFmtId="174" fontId="24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174" fontId="23" fillId="0" borderId="10" xfId="0" applyNumberFormat="1" applyFont="1" applyBorder="1" applyAlignment="1">
      <alignment/>
    </xf>
    <xf numFmtId="0" fontId="23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Continuous"/>
    </xf>
    <xf numFmtId="174" fontId="48" fillId="0" borderId="0" xfId="0" applyNumberFormat="1" applyFont="1" applyFill="1" applyAlignment="1">
      <alignment horizontal="centerContinuous"/>
    </xf>
    <xf numFmtId="174" fontId="24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174" fontId="48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Continuous"/>
    </xf>
    <xf numFmtId="174" fontId="26" fillId="0" borderId="10" xfId="0" applyNumberFormat="1" applyFont="1" applyFill="1" applyBorder="1" applyAlignment="1">
      <alignment horizontal="centerContinuous"/>
    </xf>
    <xf numFmtId="0" fontId="23" fillId="36" borderId="10" xfId="0" applyFont="1" applyFill="1" applyBorder="1" applyAlignment="1">
      <alignment horizontal="centerContinuous" wrapText="1"/>
    </xf>
    <xf numFmtId="174" fontId="23" fillId="36" borderId="10" xfId="0" applyNumberFormat="1" applyFont="1" applyFill="1" applyBorder="1" applyAlignment="1">
      <alignment horizontal="centerContinuous" wrapText="1"/>
    </xf>
    <xf numFmtId="0" fontId="23" fillId="36" borderId="10" xfId="0" applyFont="1" applyFill="1" applyBorder="1" applyAlignment="1">
      <alignment wrapText="1"/>
    </xf>
    <xf numFmtId="174" fontId="23" fillId="36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vertical="top"/>
    </xf>
    <xf numFmtId="0" fontId="23" fillId="36" borderId="10" xfId="0" applyFont="1" applyFill="1" applyBorder="1" applyAlignment="1">
      <alignment horizontal="centerContinuous"/>
    </xf>
    <xf numFmtId="174" fontId="23" fillId="36" borderId="10" xfId="0" applyNumberFormat="1" applyFont="1" applyFill="1" applyBorder="1" applyAlignment="1">
      <alignment horizontal="centerContinuous"/>
    </xf>
    <xf numFmtId="8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174" fontId="24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4" fontId="24" fillId="0" borderId="10" xfId="63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52" applyFont="1" applyFill="1" applyBorder="1" applyAlignment="1">
      <alignment horizontal="justify" vertical="center"/>
      <protection/>
    </xf>
    <xf numFmtId="0" fontId="49" fillId="37" borderId="11" xfId="0" applyFont="1" applyFill="1" applyBorder="1" applyAlignment="1">
      <alignment horizontal="justify" vertical="center"/>
    </xf>
    <xf numFmtId="0" fontId="49" fillId="37" borderId="10" xfId="0" applyFont="1" applyFill="1" applyBorder="1" applyAlignment="1">
      <alignment horizontal="right" vertical="center"/>
    </xf>
    <xf numFmtId="174" fontId="49" fillId="37" borderId="10" xfId="0" applyNumberFormat="1" applyFont="1" applyFill="1" applyBorder="1" applyAlignment="1">
      <alignment horizontal="right" vertical="center"/>
    </xf>
    <xf numFmtId="174" fontId="49" fillId="37" borderId="12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horizontal="justify" vertical="center"/>
    </xf>
    <xf numFmtId="0" fontId="0" fillId="0" borderId="12" xfId="0" applyBorder="1" applyAlignment="1">
      <alignment horizontal="right"/>
    </xf>
    <xf numFmtId="0" fontId="49" fillId="0" borderId="13" xfId="0" applyFont="1" applyBorder="1" applyAlignment="1">
      <alignment horizontal="justify" vertical="center"/>
    </xf>
    <xf numFmtId="0" fontId="50" fillId="0" borderId="14" xfId="0" applyFont="1" applyBorder="1" applyAlignment="1">
      <alignment horizontal="right" vertical="center"/>
    </xf>
    <xf numFmtId="174" fontId="50" fillId="0" borderId="14" xfId="0" applyNumberFormat="1" applyFont="1" applyBorder="1" applyAlignment="1">
      <alignment horizontal="right" vertical="center"/>
    </xf>
    <xf numFmtId="174" fontId="50" fillId="0" borderId="15" xfId="0" applyNumberFormat="1" applyFont="1" applyBorder="1" applyAlignment="1">
      <alignment horizontal="right" vertical="center"/>
    </xf>
    <xf numFmtId="0" fontId="50" fillId="38" borderId="10" xfId="0" applyFont="1" applyFill="1" applyBorder="1" applyAlignment="1">
      <alignment horizontal="justify" vertical="center" wrapText="1"/>
    </xf>
    <xf numFmtId="174" fontId="50" fillId="38" borderId="10" xfId="0" applyNumberFormat="1" applyFont="1" applyFill="1" applyBorder="1" applyAlignment="1">
      <alignment horizontal="justify" vertical="center" wrapText="1"/>
    </xf>
    <xf numFmtId="174" fontId="50" fillId="38" borderId="12" xfId="0" applyNumberFormat="1" applyFont="1" applyFill="1" applyBorder="1" applyAlignment="1">
      <alignment horizontal="justify" vertical="center" wrapText="1"/>
    </xf>
    <xf numFmtId="0" fontId="23" fillId="33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50" fillId="38" borderId="16" xfId="0" applyFont="1" applyFill="1" applyBorder="1" applyAlignment="1">
      <alignment horizontal="justify" vertical="center"/>
    </xf>
    <xf numFmtId="0" fontId="50" fillId="38" borderId="11" xfId="0" applyFont="1" applyFill="1" applyBorder="1" applyAlignment="1">
      <alignment horizontal="justify" vertical="center"/>
    </xf>
    <xf numFmtId="0" fontId="50" fillId="38" borderId="17" xfId="0" applyFont="1" applyFill="1" applyBorder="1" applyAlignment="1">
      <alignment horizontal="center" vertical="center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8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2" xfId="52"/>
    <cellStyle name="Normalny 2" xfId="53"/>
    <cellStyle name="Normalny 20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I218" sqref="A5:I218"/>
    </sheetView>
  </sheetViews>
  <sheetFormatPr defaultColWidth="9.140625" defaultRowHeight="12.75"/>
  <cols>
    <col min="1" max="1" width="4.28125" style="5" customWidth="1"/>
    <col min="2" max="2" width="26.28125" style="44" customWidth="1"/>
    <col min="3" max="3" width="18.8515625" style="36" customWidth="1"/>
    <col min="4" max="4" width="18.7109375" style="36" bestFit="1" customWidth="1"/>
    <col min="5" max="5" width="18.7109375" style="5" bestFit="1" customWidth="1"/>
    <col min="6" max="6" width="12.140625" style="36" customWidth="1"/>
    <col min="7" max="7" width="11.57421875" style="5" customWidth="1"/>
    <col min="8" max="8" width="13.421875" style="5" customWidth="1"/>
    <col min="9" max="9" width="9.421875" style="44" customWidth="1"/>
    <col min="10" max="10" width="12.8515625" style="5" hidden="1" customWidth="1"/>
    <col min="11" max="16384" width="9.140625" style="5" customWidth="1"/>
  </cols>
  <sheetData>
    <row r="1" spans="1:7" ht="12.75">
      <c r="A1" s="40" t="s">
        <v>244</v>
      </c>
      <c r="B1" s="41"/>
      <c r="C1" s="42"/>
      <c r="D1" s="42"/>
      <c r="E1" s="43"/>
      <c r="F1" s="42"/>
      <c r="G1" s="43"/>
    </row>
    <row r="2" spans="1:7" ht="25.5" customHeight="1">
      <c r="A2" s="27"/>
      <c r="B2" s="45"/>
      <c r="C2" s="46"/>
      <c r="D2" s="46"/>
      <c r="E2" s="27"/>
      <c r="F2" s="46"/>
      <c r="G2" s="27"/>
    </row>
    <row r="3" spans="1:9" ht="25.5" customHeight="1">
      <c r="A3" s="37" t="s">
        <v>245</v>
      </c>
      <c r="B3" s="47"/>
      <c r="C3" s="39"/>
      <c r="D3" s="39"/>
      <c r="E3" s="37"/>
      <c r="F3" s="39"/>
      <c r="G3" s="37"/>
      <c r="H3" s="37"/>
      <c r="I3" s="47"/>
    </row>
    <row r="4" spans="1:7" ht="25.5" customHeight="1">
      <c r="A4" s="27"/>
      <c r="B4" s="45"/>
      <c r="C4" s="46"/>
      <c r="D4" s="46"/>
      <c r="E4" s="27"/>
      <c r="F4" s="46"/>
      <c r="G4" s="27"/>
    </row>
    <row r="5" spans="1:9" ht="13.5" customHeight="1">
      <c r="A5" s="48" t="s">
        <v>71</v>
      </c>
      <c r="B5" s="48"/>
      <c r="C5" s="48"/>
      <c r="D5" s="48"/>
      <c r="E5" s="48"/>
      <c r="F5" s="48"/>
      <c r="G5" s="48"/>
      <c r="H5" s="48"/>
      <c r="I5" s="48"/>
    </row>
    <row r="6" spans="1:9" ht="12.75">
      <c r="A6" s="49"/>
      <c r="B6" s="49"/>
      <c r="C6" s="49"/>
      <c r="D6" s="50"/>
      <c r="E6" s="49"/>
      <c r="F6" s="113" t="s">
        <v>38</v>
      </c>
      <c r="G6" s="113"/>
      <c r="H6" s="113"/>
      <c r="I6" s="113"/>
    </row>
    <row r="7" spans="1:9" ht="26.25">
      <c r="A7" s="49" t="s">
        <v>0</v>
      </c>
      <c r="B7" s="49" t="s">
        <v>1</v>
      </c>
      <c r="C7" s="50" t="s">
        <v>249</v>
      </c>
      <c r="D7" s="50" t="s">
        <v>52</v>
      </c>
      <c r="E7" s="49" t="s">
        <v>46</v>
      </c>
      <c r="F7" s="50" t="s">
        <v>39</v>
      </c>
      <c r="G7" s="49" t="s">
        <v>40</v>
      </c>
      <c r="H7" s="50" t="s">
        <v>62</v>
      </c>
      <c r="I7" s="49" t="s">
        <v>42</v>
      </c>
    </row>
    <row r="8" spans="1:10" ht="39">
      <c r="A8" s="28" t="s">
        <v>3</v>
      </c>
      <c r="B8" s="25" t="s">
        <v>126</v>
      </c>
      <c r="C8" s="51" t="s">
        <v>250</v>
      </c>
      <c r="D8" s="52">
        <v>30000</v>
      </c>
      <c r="E8" s="25">
        <v>1997</v>
      </c>
      <c r="F8" s="53" t="s">
        <v>53</v>
      </c>
      <c r="G8" s="28"/>
      <c r="H8" s="25"/>
      <c r="I8" s="25" t="s">
        <v>128</v>
      </c>
      <c r="J8" s="5" t="s">
        <v>305</v>
      </c>
    </row>
    <row r="9" spans="1:10" s="54" customFormat="1" ht="26.25">
      <c r="A9" s="28" t="s">
        <v>4</v>
      </c>
      <c r="B9" s="25" t="s">
        <v>127</v>
      </c>
      <c r="C9" s="51" t="s">
        <v>250</v>
      </c>
      <c r="D9" s="52">
        <v>30000</v>
      </c>
      <c r="E9" s="25">
        <v>1998</v>
      </c>
      <c r="F9" s="53" t="s">
        <v>53</v>
      </c>
      <c r="G9" s="28"/>
      <c r="H9" s="25"/>
      <c r="I9" s="25" t="s">
        <v>51</v>
      </c>
      <c r="J9" s="5" t="s">
        <v>305</v>
      </c>
    </row>
    <row r="10" spans="1:10" s="54" customFormat="1" ht="26.25">
      <c r="A10" s="28" t="s">
        <v>5</v>
      </c>
      <c r="B10" s="25" t="s">
        <v>363</v>
      </c>
      <c r="C10" s="51" t="s">
        <v>250</v>
      </c>
      <c r="D10" s="52">
        <f>859*2000</f>
        <v>1718000</v>
      </c>
      <c r="E10" s="25">
        <v>1950</v>
      </c>
      <c r="F10" s="53" t="s">
        <v>43</v>
      </c>
      <c r="G10" s="28"/>
      <c r="H10" s="25"/>
      <c r="I10" s="25" t="s">
        <v>45</v>
      </c>
      <c r="J10" s="5" t="s">
        <v>305</v>
      </c>
    </row>
    <row r="11" spans="1:10" s="54" customFormat="1" ht="26.25">
      <c r="A11" s="28" t="s">
        <v>7</v>
      </c>
      <c r="B11" s="25" t="s">
        <v>251</v>
      </c>
      <c r="C11" s="51" t="s">
        <v>250</v>
      </c>
      <c r="D11" s="52">
        <f>15*1000</f>
        <v>15000</v>
      </c>
      <c r="E11" s="25">
        <v>1960</v>
      </c>
      <c r="F11" s="53" t="s">
        <v>43</v>
      </c>
      <c r="G11" s="28"/>
      <c r="H11" s="25"/>
      <c r="I11" s="25" t="s">
        <v>45</v>
      </c>
      <c r="J11" s="5" t="s">
        <v>305</v>
      </c>
    </row>
    <row r="12" spans="1:10" s="54" customFormat="1" ht="26.25">
      <c r="A12" s="28" t="s">
        <v>8</v>
      </c>
      <c r="B12" s="25" t="s">
        <v>252</v>
      </c>
      <c r="C12" s="51" t="s">
        <v>250</v>
      </c>
      <c r="D12" s="52">
        <f>15*1000</f>
        <v>15000</v>
      </c>
      <c r="E12" s="25">
        <v>1960</v>
      </c>
      <c r="F12" s="53" t="s">
        <v>43</v>
      </c>
      <c r="G12" s="28"/>
      <c r="H12" s="25"/>
      <c r="I12" s="25" t="s">
        <v>45</v>
      </c>
      <c r="J12" s="5" t="s">
        <v>305</v>
      </c>
    </row>
    <row r="13" spans="1:10" s="55" customFormat="1" ht="39">
      <c r="A13" s="28" t="s">
        <v>9</v>
      </c>
      <c r="B13" s="25" t="s">
        <v>364</v>
      </c>
      <c r="C13" s="51" t="s">
        <v>250</v>
      </c>
      <c r="D13" s="52">
        <f>161.1*2000</f>
        <v>322200</v>
      </c>
      <c r="E13" s="25"/>
      <c r="F13" s="53" t="s">
        <v>125</v>
      </c>
      <c r="G13" s="28"/>
      <c r="H13" s="25"/>
      <c r="I13" s="25" t="s">
        <v>51</v>
      </c>
      <c r="J13" s="5" t="s">
        <v>305</v>
      </c>
    </row>
    <row r="14" spans="1:10" ht="26.25">
      <c r="A14" s="28" t="s">
        <v>11</v>
      </c>
      <c r="B14" s="25" t="s">
        <v>365</v>
      </c>
      <c r="C14" s="51" t="s">
        <v>250</v>
      </c>
      <c r="D14" s="52">
        <f>96*1000</f>
        <v>96000</v>
      </c>
      <c r="E14" s="25">
        <v>1935</v>
      </c>
      <c r="F14" s="53" t="s">
        <v>366</v>
      </c>
      <c r="G14" s="28"/>
      <c r="H14" s="25"/>
      <c r="I14" s="25" t="s">
        <v>77</v>
      </c>
      <c r="J14" s="5" t="s">
        <v>305</v>
      </c>
    </row>
    <row r="15" spans="1:10" ht="26.25">
      <c r="A15" s="28" t="s">
        <v>12</v>
      </c>
      <c r="B15" s="25" t="s">
        <v>361</v>
      </c>
      <c r="C15" s="51" t="s">
        <v>250</v>
      </c>
      <c r="D15" s="52">
        <f>2184*3000</f>
        <v>6552000</v>
      </c>
      <c r="E15" s="25" t="s">
        <v>228</v>
      </c>
      <c r="F15" s="53" t="s">
        <v>229</v>
      </c>
      <c r="G15" s="28"/>
      <c r="H15" s="25" t="s">
        <v>51</v>
      </c>
      <c r="I15" s="25" t="s">
        <v>51</v>
      </c>
      <c r="J15" s="5" t="s">
        <v>305</v>
      </c>
    </row>
    <row r="16" spans="1:10" ht="12.75">
      <c r="A16" s="28" t="s">
        <v>13</v>
      </c>
      <c r="B16" s="25" t="s">
        <v>253</v>
      </c>
      <c r="C16" s="51" t="s">
        <v>250</v>
      </c>
      <c r="D16" s="52">
        <f>1448*3000</f>
        <v>4344000</v>
      </c>
      <c r="E16" s="25">
        <v>1952</v>
      </c>
      <c r="F16" s="53" t="s">
        <v>53</v>
      </c>
      <c r="G16" s="28"/>
      <c r="H16" s="25"/>
      <c r="I16" s="25" t="s">
        <v>45</v>
      </c>
      <c r="J16" s="5" t="s">
        <v>305</v>
      </c>
    </row>
    <row r="17" spans="1:10" ht="26.25">
      <c r="A17" s="28" t="s">
        <v>14</v>
      </c>
      <c r="B17" s="25" t="s">
        <v>254</v>
      </c>
      <c r="C17" s="51" t="s">
        <v>250</v>
      </c>
      <c r="D17" s="52">
        <f>685.37*2000</f>
        <v>1370740</v>
      </c>
      <c r="E17" s="25">
        <v>1996</v>
      </c>
      <c r="F17" s="53" t="s">
        <v>53</v>
      </c>
      <c r="G17" s="28"/>
      <c r="H17" s="25"/>
      <c r="I17" s="25" t="s">
        <v>45</v>
      </c>
      <c r="J17" s="5" t="s">
        <v>305</v>
      </c>
    </row>
    <row r="18" spans="1:10" ht="26.25">
      <c r="A18" s="28" t="s">
        <v>15</v>
      </c>
      <c r="B18" s="25" t="s">
        <v>231</v>
      </c>
      <c r="C18" s="51" t="s">
        <v>250</v>
      </c>
      <c r="D18" s="52">
        <f>537*3000</f>
        <v>1611000</v>
      </c>
      <c r="E18" s="25" t="s">
        <v>78</v>
      </c>
      <c r="F18" s="53" t="s">
        <v>53</v>
      </c>
      <c r="G18" s="28"/>
      <c r="H18" s="25"/>
      <c r="I18" s="25" t="s">
        <v>45</v>
      </c>
      <c r="J18" s="5" t="s">
        <v>305</v>
      </c>
    </row>
    <row r="19" spans="1:10" ht="12.75">
      <c r="A19" s="28" t="s">
        <v>16</v>
      </c>
      <c r="B19" s="25" t="s">
        <v>72</v>
      </c>
      <c r="C19" s="51" t="s">
        <v>255</v>
      </c>
      <c r="D19" s="52">
        <f>160*2000</f>
        <v>320000</v>
      </c>
      <c r="E19" s="25">
        <v>1971</v>
      </c>
      <c r="F19" s="53" t="s">
        <v>123</v>
      </c>
      <c r="G19" s="28"/>
      <c r="H19" s="25"/>
      <c r="I19" s="25" t="s">
        <v>45</v>
      </c>
      <c r="J19" s="5" t="s">
        <v>305</v>
      </c>
    </row>
    <row r="20" spans="1:10" ht="26.25">
      <c r="A20" s="28" t="s">
        <v>17</v>
      </c>
      <c r="B20" s="25" t="s">
        <v>73</v>
      </c>
      <c r="C20" s="51" t="s">
        <v>250</v>
      </c>
      <c r="D20" s="52">
        <f>530*2000</f>
        <v>1060000</v>
      </c>
      <c r="E20" s="25">
        <v>1965</v>
      </c>
      <c r="F20" s="53" t="s">
        <v>53</v>
      </c>
      <c r="G20" s="28"/>
      <c r="H20" s="25"/>
      <c r="I20" s="25" t="s">
        <v>124</v>
      </c>
      <c r="J20" s="5" t="s">
        <v>305</v>
      </c>
    </row>
    <row r="21" spans="1:10" ht="12.75">
      <c r="A21" s="28" t="s">
        <v>18</v>
      </c>
      <c r="B21" s="25" t="s">
        <v>74</v>
      </c>
      <c r="C21" s="51" t="s">
        <v>250</v>
      </c>
      <c r="D21" s="52">
        <f>342*2000</f>
        <v>684000</v>
      </c>
      <c r="E21" s="25">
        <v>1971</v>
      </c>
      <c r="F21" s="53" t="s">
        <v>53</v>
      </c>
      <c r="G21" s="28"/>
      <c r="H21" s="25"/>
      <c r="I21" s="25" t="s">
        <v>65</v>
      </c>
      <c r="J21" s="5" t="s">
        <v>305</v>
      </c>
    </row>
    <row r="22" spans="1:10" ht="12.75">
      <c r="A22" s="28" t="s">
        <v>19</v>
      </c>
      <c r="B22" s="25" t="s">
        <v>75</v>
      </c>
      <c r="C22" s="51" t="s">
        <v>250</v>
      </c>
      <c r="D22" s="52">
        <f>446.5*2000</f>
        <v>893000</v>
      </c>
      <c r="E22" s="25">
        <v>1965</v>
      </c>
      <c r="F22" s="53"/>
      <c r="G22" s="28"/>
      <c r="H22" s="25"/>
      <c r="I22" s="25"/>
      <c r="J22" s="5" t="s">
        <v>305</v>
      </c>
    </row>
    <row r="23" spans="1:10" ht="26.25">
      <c r="A23" s="28" t="s">
        <v>20</v>
      </c>
      <c r="B23" s="25" t="s">
        <v>355</v>
      </c>
      <c r="C23" s="51" t="s">
        <v>250</v>
      </c>
      <c r="D23" s="52">
        <f>158.45*2000</f>
        <v>316900</v>
      </c>
      <c r="E23" s="25">
        <v>1965</v>
      </c>
      <c r="F23" s="53" t="s">
        <v>47</v>
      </c>
      <c r="G23" s="28"/>
      <c r="H23" s="25"/>
      <c r="I23" s="25" t="s">
        <v>65</v>
      </c>
      <c r="J23" s="5" t="s">
        <v>305</v>
      </c>
    </row>
    <row r="24" spans="1:10" ht="26.25">
      <c r="A24" s="28" t="s">
        <v>21</v>
      </c>
      <c r="B24" s="25" t="s">
        <v>356</v>
      </c>
      <c r="C24" s="51" t="s">
        <v>250</v>
      </c>
      <c r="D24" s="52">
        <f>464.54*2000</f>
        <v>929080</v>
      </c>
      <c r="E24" s="25" t="s">
        <v>79</v>
      </c>
      <c r="F24" s="53" t="s">
        <v>64</v>
      </c>
      <c r="G24" s="28"/>
      <c r="H24" s="25"/>
      <c r="I24" s="25" t="s">
        <v>45</v>
      </c>
      <c r="J24" s="5" t="s">
        <v>305</v>
      </c>
    </row>
    <row r="25" spans="1:10" ht="12.75">
      <c r="A25" s="28" t="s">
        <v>22</v>
      </c>
      <c r="B25" s="25" t="s">
        <v>76</v>
      </c>
      <c r="C25" s="51" t="s">
        <v>250</v>
      </c>
      <c r="D25" s="52">
        <f>406.05*2000</f>
        <v>812100</v>
      </c>
      <c r="E25" s="25" t="s">
        <v>80</v>
      </c>
      <c r="F25" s="53" t="s">
        <v>53</v>
      </c>
      <c r="G25" s="28"/>
      <c r="H25" s="25"/>
      <c r="I25" s="25" t="s">
        <v>45</v>
      </c>
      <c r="J25" s="5" t="s">
        <v>305</v>
      </c>
    </row>
    <row r="26" spans="1:10" ht="26.25">
      <c r="A26" s="28" t="s">
        <v>66</v>
      </c>
      <c r="B26" s="25" t="s">
        <v>256</v>
      </c>
      <c r="C26" s="51" t="s">
        <v>250</v>
      </c>
      <c r="D26" s="52">
        <f>436*3000</f>
        <v>1308000</v>
      </c>
      <c r="E26" s="25">
        <v>1996</v>
      </c>
      <c r="F26" s="53" t="s">
        <v>53</v>
      </c>
      <c r="G26" s="28"/>
      <c r="H26" s="25"/>
      <c r="I26" s="25" t="s">
        <v>77</v>
      </c>
      <c r="J26" s="5" t="s">
        <v>305</v>
      </c>
    </row>
    <row r="27" spans="1:10" ht="39">
      <c r="A27" s="28" t="s">
        <v>23</v>
      </c>
      <c r="B27" s="25" t="s">
        <v>358</v>
      </c>
      <c r="C27" s="51" t="s">
        <v>250</v>
      </c>
      <c r="D27" s="52">
        <f>200*3000</f>
        <v>600000</v>
      </c>
      <c r="E27" s="25"/>
      <c r="F27" s="53" t="s">
        <v>53</v>
      </c>
      <c r="G27" s="28"/>
      <c r="H27" s="25"/>
      <c r="I27" s="25" t="s">
        <v>51</v>
      </c>
      <c r="J27" s="5" t="s">
        <v>305</v>
      </c>
    </row>
    <row r="28" spans="1:10" ht="39">
      <c r="A28" s="28" t="s">
        <v>24</v>
      </c>
      <c r="B28" s="25" t="s">
        <v>230</v>
      </c>
      <c r="C28" s="51" t="s">
        <v>250</v>
      </c>
      <c r="D28" s="52">
        <f>159.62*2000</f>
        <v>319240</v>
      </c>
      <c r="E28" s="25">
        <v>2003</v>
      </c>
      <c r="F28" s="53" t="s">
        <v>53</v>
      </c>
      <c r="G28" s="28"/>
      <c r="H28" s="25"/>
      <c r="I28" s="25" t="s">
        <v>45</v>
      </c>
      <c r="J28" s="5" t="s">
        <v>305</v>
      </c>
    </row>
    <row r="29" spans="1:10" ht="39">
      <c r="A29" s="28" t="s">
        <v>235</v>
      </c>
      <c r="B29" s="25" t="s">
        <v>232</v>
      </c>
      <c r="C29" s="51" t="s">
        <v>250</v>
      </c>
      <c r="D29" s="52">
        <f>330*3000</f>
        <v>990000</v>
      </c>
      <c r="E29" s="25">
        <v>1962</v>
      </c>
      <c r="F29" s="53" t="s">
        <v>53</v>
      </c>
      <c r="G29" s="28"/>
      <c r="H29" s="25"/>
      <c r="I29" s="25" t="s">
        <v>128</v>
      </c>
      <c r="J29" s="5" t="s">
        <v>305</v>
      </c>
    </row>
    <row r="30" spans="1:10" ht="26.25">
      <c r="A30" s="28" t="s">
        <v>25</v>
      </c>
      <c r="B30" s="25" t="s">
        <v>233</v>
      </c>
      <c r="C30" s="51" t="s">
        <v>250</v>
      </c>
      <c r="D30" s="52">
        <f>55*1000</f>
        <v>55000</v>
      </c>
      <c r="E30" s="25">
        <v>1973</v>
      </c>
      <c r="F30" s="53" t="s">
        <v>53</v>
      </c>
      <c r="G30" s="28"/>
      <c r="H30" s="25"/>
      <c r="I30" s="25"/>
      <c r="J30" s="5" t="s">
        <v>305</v>
      </c>
    </row>
    <row r="31" spans="1:10" ht="26.25">
      <c r="A31" s="28" t="s">
        <v>26</v>
      </c>
      <c r="B31" s="25" t="s">
        <v>359</v>
      </c>
      <c r="C31" s="51" t="s">
        <v>250</v>
      </c>
      <c r="D31" s="52">
        <f>48*1000</f>
        <v>48000</v>
      </c>
      <c r="E31" s="25">
        <v>2010</v>
      </c>
      <c r="F31" s="53" t="s">
        <v>53</v>
      </c>
      <c r="G31" s="28"/>
      <c r="H31" s="25"/>
      <c r="I31" s="25" t="s">
        <v>81</v>
      </c>
      <c r="J31" s="5" t="s">
        <v>305</v>
      </c>
    </row>
    <row r="32" spans="1:10" ht="12.75">
      <c r="A32" s="28" t="s">
        <v>27</v>
      </c>
      <c r="B32" s="25" t="s">
        <v>367</v>
      </c>
      <c r="C32" s="51" t="s">
        <v>250</v>
      </c>
      <c r="D32" s="52">
        <f>171*3000</f>
        <v>513000</v>
      </c>
      <c r="E32" s="25" t="s">
        <v>228</v>
      </c>
      <c r="F32" s="53" t="s">
        <v>368</v>
      </c>
      <c r="G32" s="28"/>
      <c r="H32" s="25"/>
      <c r="I32" s="25" t="s">
        <v>45</v>
      </c>
      <c r="J32" s="5" t="s">
        <v>305</v>
      </c>
    </row>
    <row r="33" spans="1:10" ht="26.25">
      <c r="A33" s="28" t="s">
        <v>28</v>
      </c>
      <c r="B33" s="25" t="s">
        <v>82</v>
      </c>
      <c r="C33" s="51" t="s">
        <v>250</v>
      </c>
      <c r="D33" s="52">
        <f>310.5*2000</f>
        <v>621000</v>
      </c>
      <c r="E33" s="25">
        <v>1965</v>
      </c>
      <c r="F33" s="53" t="s">
        <v>47</v>
      </c>
      <c r="G33" s="28"/>
      <c r="H33" s="25"/>
      <c r="I33" s="25" t="s">
        <v>124</v>
      </c>
      <c r="J33" s="5" t="s">
        <v>305</v>
      </c>
    </row>
    <row r="34" spans="1:10" ht="12.75">
      <c r="A34" s="28" t="s">
        <v>29</v>
      </c>
      <c r="B34" s="25" t="s">
        <v>357</v>
      </c>
      <c r="C34" s="51" t="s">
        <v>250</v>
      </c>
      <c r="D34" s="52">
        <f>50*3000</f>
        <v>150000</v>
      </c>
      <c r="E34" s="25">
        <v>1994</v>
      </c>
      <c r="F34" s="53" t="s">
        <v>125</v>
      </c>
      <c r="G34" s="28"/>
      <c r="H34" s="25"/>
      <c r="I34" s="25" t="s">
        <v>45</v>
      </c>
      <c r="J34" s="5" t="s">
        <v>305</v>
      </c>
    </row>
    <row r="35" spans="1:10" ht="12.75">
      <c r="A35" s="28" t="s">
        <v>30</v>
      </c>
      <c r="B35" s="25" t="s">
        <v>83</v>
      </c>
      <c r="C35" s="51" t="s">
        <v>255</v>
      </c>
      <c r="D35" s="52">
        <v>871354.9</v>
      </c>
      <c r="E35" s="25">
        <v>1971</v>
      </c>
      <c r="F35" s="53" t="s">
        <v>53</v>
      </c>
      <c r="G35" s="28"/>
      <c r="H35" s="25"/>
      <c r="I35" s="25" t="s">
        <v>45</v>
      </c>
      <c r="J35" s="5" t="s">
        <v>305</v>
      </c>
    </row>
    <row r="36" spans="1:10" ht="12.75">
      <c r="A36" s="28" t="s">
        <v>31</v>
      </c>
      <c r="B36" s="25" t="s">
        <v>362</v>
      </c>
      <c r="C36" s="51" t="s">
        <v>250</v>
      </c>
      <c r="D36" s="52">
        <f>100.68*1000</f>
        <v>100680</v>
      </c>
      <c r="E36" s="25">
        <v>1961</v>
      </c>
      <c r="F36" s="53" t="s">
        <v>43</v>
      </c>
      <c r="G36" s="28"/>
      <c r="H36" s="25"/>
      <c r="I36" s="25" t="s">
        <v>45</v>
      </c>
      <c r="J36" s="5" t="s">
        <v>305</v>
      </c>
    </row>
    <row r="37" spans="1:10" ht="39">
      <c r="A37" s="28" t="s">
        <v>32</v>
      </c>
      <c r="B37" s="25" t="s">
        <v>257</v>
      </c>
      <c r="C37" s="51" t="s">
        <v>250</v>
      </c>
      <c r="D37" s="52">
        <f>187.37*2000</f>
        <v>374740</v>
      </c>
      <c r="E37" s="25">
        <v>1967</v>
      </c>
      <c r="F37" s="53" t="s">
        <v>53</v>
      </c>
      <c r="G37" s="28"/>
      <c r="H37" s="25"/>
      <c r="I37" s="25" t="s">
        <v>155</v>
      </c>
      <c r="J37" s="5" t="s">
        <v>305</v>
      </c>
    </row>
    <row r="38" spans="1:10" ht="12.75">
      <c r="A38" s="28" t="s">
        <v>33</v>
      </c>
      <c r="B38" s="25" t="s">
        <v>370</v>
      </c>
      <c r="C38" s="51" t="s">
        <v>250</v>
      </c>
      <c r="D38" s="52">
        <f>64.94*1000</f>
        <v>64940</v>
      </c>
      <c r="E38" s="25"/>
      <c r="F38" s="53"/>
      <c r="G38" s="28"/>
      <c r="H38" s="25"/>
      <c r="I38" s="25"/>
      <c r="J38" s="5" t="s">
        <v>305</v>
      </c>
    </row>
    <row r="39" spans="1:10" ht="12.75">
      <c r="A39" s="28" t="s">
        <v>34</v>
      </c>
      <c r="B39" s="25" t="s">
        <v>258</v>
      </c>
      <c r="C39" s="51" t="s">
        <v>250</v>
      </c>
      <c r="D39" s="52">
        <f>110*1500</f>
        <v>165000</v>
      </c>
      <c r="E39" s="25"/>
      <c r="F39" s="53"/>
      <c r="G39" s="28"/>
      <c r="H39" s="25"/>
      <c r="I39" s="25"/>
      <c r="J39" s="5" t="s">
        <v>306</v>
      </c>
    </row>
    <row r="40" spans="1:10" ht="12.75">
      <c r="A40" s="28" t="s">
        <v>236</v>
      </c>
      <c r="B40" s="25" t="s">
        <v>259</v>
      </c>
      <c r="C40" s="51" t="s">
        <v>250</v>
      </c>
      <c r="D40" s="52">
        <f>55*1500</f>
        <v>82500</v>
      </c>
      <c r="E40" s="25"/>
      <c r="F40" s="53"/>
      <c r="G40" s="28"/>
      <c r="H40" s="25"/>
      <c r="I40" s="25"/>
      <c r="J40" s="5" t="s">
        <v>306</v>
      </c>
    </row>
    <row r="41" spans="1:10" ht="12.75">
      <c r="A41" s="28" t="s">
        <v>35</v>
      </c>
      <c r="B41" s="25" t="s">
        <v>360</v>
      </c>
      <c r="C41" s="51" t="s">
        <v>250</v>
      </c>
      <c r="D41" s="52">
        <f>127*1500</f>
        <v>190500</v>
      </c>
      <c r="E41" s="25"/>
      <c r="F41" s="53"/>
      <c r="G41" s="28"/>
      <c r="H41" s="25"/>
      <c r="I41" s="25"/>
      <c r="J41" s="5" t="s">
        <v>306</v>
      </c>
    </row>
    <row r="42" spans="1:10" ht="26.25">
      <c r="A42" s="28" t="s">
        <v>446</v>
      </c>
      <c r="B42" s="25" t="s">
        <v>369</v>
      </c>
      <c r="C42" s="51" t="s">
        <v>250</v>
      </c>
      <c r="D42" s="52">
        <f>16.67*1500</f>
        <v>25005.000000000004</v>
      </c>
      <c r="E42" s="25"/>
      <c r="F42" s="53"/>
      <c r="G42" s="28"/>
      <c r="H42" s="25"/>
      <c r="I42" s="25"/>
      <c r="J42" s="5" t="s">
        <v>306</v>
      </c>
    </row>
    <row r="43" spans="1:10" ht="26.25">
      <c r="A43" s="28" t="s">
        <v>447</v>
      </c>
      <c r="B43" s="25" t="s">
        <v>371</v>
      </c>
      <c r="C43" s="51" t="s">
        <v>250</v>
      </c>
      <c r="D43" s="52">
        <f>240.09*1500</f>
        <v>360135</v>
      </c>
      <c r="E43" s="25"/>
      <c r="F43" s="53"/>
      <c r="G43" s="28"/>
      <c r="H43" s="25"/>
      <c r="I43" s="25"/>
      <c r="J43" s="5" t="s">
        <v>306</v>
      </c>
    </row>
    <row r="44" spans="1:10" ht="26.25">
      <c r="A44" s="28" t="s">
        <v>237</v>
      </c>
      <c r="B44" s="25" t="s">
        <v>372</v>
      </c>
      <c r="C44" s="51" t="s">
        <v>250</v>
      </c>
      <c r="D44" s="52">
        <f>240.31*1500</f>
        <v>360465</v>
      </c>
      <c r="E44" s="25"/>
      <c r="F44" s="53"/>
      <c r="G44" s="28"/>
      <c r="H44" s="25"/>
      <c r="I44" s="25"/>
      <c r="J44" s="5" t="s">
        <v>306</v>
      </c>
    </row>
    <row r="45" spans="1:10" ht="26.25">
      <c r="A45" s="28" t="s">
        <v>36</v>
      </c>
      <c r="B45" s="25" t="s">
        <v>373</v>
      </c>
      <c r="C45" s="51" t="s">
        <v>250</v>
      </c>
      <c r="D45" s="52">
        <f>195*1500</f>
        <v>292500</v>
      </c>
      <c r="E45" s="25"/>
      <c r="F45" s="53"/>
      <c r="G45" s="28"/>
      <c r="H45" s="25"/>
      <c r="I45" s="25"/>
      <c r="J45" s="5" t="s">
        <v>306</v>
      </c>
    </row>
    <row r="46" spans="1:10" ht="26.25">
      <c r="A46" s="28" t="s">
        <v>448</v>
      </c>
      <c r="B46" s="25" t="s">
        <v>374</v>
      </c>
      <c r="C46" s="51" t="s">
        <v>250</v>
      </c>
      <c r="D46" s="52">
        <f>145.76*1500</f>
        <v>218640</v>
      </c>
      <c r="E46" s="25"/>
      <c r="F46" s="53"/>
      <c r="G46" s="28"/>
      <c r="H46" s="25"/>
      <c r="I46" s="25"/>
      <c r="J46" s="5" t="s">
        <v>306</v>
      </c>
    </row>
    <row r="47" spans="1:10" ht="26.25">
      <c r="A47" s="28" t="s">
        <v>278</v>
      </c>
      <c r="B47" s="25" t="s">
        <v>375</v>
      </c>
      <c r="C47" s="51" t="s">
        <v>250</v>
      </c>
      <c r="D47" s="52">
        <f>97.5*1500</f>
        <v>146250</v>
      </c>
      <c r="E47" s="25"/>
      <c r="F47" s="53"/>
      <c r="G47" s="28"/>
      <c r="H47" s="25"/>
      <c r="I47" s="25"/>
      <c r="J47" s="5" t="s">
        <v>306</v>
      </c>
    </row>
    <row r="48" spans="1:10" ht="26.25">
      <c r="A48" s="28" t="s">
        <v>449</v>
      </c>
      <c r="B48" s="25" t="s">
        <v>376</v>
      </c>
      <c r="C48" s="51" t="s">
        <v>250</v>
      </c>
      <c r="D48" s="52">
        <f>178.67*1500</f>
        <v>268005</v>
      </c>
      <c r="E48" s="25"/>
      <c r="F48" s="53"/>
      <c r="G48" s="28"/>
      <c r="H48" s="25"/>
      <c r="I48" s="25"/>
      <c r="J48" s="5" t="s">
        <v>306</v>
      </c>
    </row>
    <row r="49" spans="1:10" ht="26.25">
      <c r="A49" s="28" t="s">
        <v>97</v>
      </c>
      <c r="B49" s="25" t="s">
        <v>377</v>
      </c>
      <c r="C49" s="51" t="s">
        <v>250</v>
      </c>
      <c r="D49" s="52">
        <f>101.46*1500</f>
        <v>152190</v>
      </c>
      <c r="E49" s="25"/>
      <c r="F49" s="53"/>
      <c r="G49" s="28"/>
      <c r="H49" s="25"/>
      <c r="I49" s="25"/>
      <c r="J49" s="5" t="s">
        <v>306</v>
      </c>
    </row>
    <row r="50" spans="1:10" ht="26.25">
      <c r="A50" s="28" t="s">
        <v>450</v>
      </c>
      <c r="B50" s="25" t="s">
        <v>378</v>
      </c>
      <c r="C50" s="51" t="s">
        <v>250</v>
      </c>
      <c r="D50" s="52">
        <f>178.56*1500</f>
        <v>267840</v>
      </c>
      <c r="E50" s="25"/>
      <c r="F50" s="53"/>
      <c r="G50" s="28"/>
      <c r="H50" s="25"/>
      <c r="I50" s="25"/>
      <c r="J50" s="5" t="s">
        <v>306</v>
      </c>
    </row>
    <row r="51" spans="1:10" ht="26.25">
      <c r="A51" s="28" t="s">
        <v>451</v>
      </c>
      <c r="B51" s="25" t="s">
        <v>379</v>
      </c>
      <c r="C51" s="51" t="s">
        <v>250</v>
      </c>
      <c r="D51" s="52">
        <f>518.64*1500</f>
        <v>777960</v>
      </c>
      <c r="E51" s="25"/>
      <c r="F51" s="53"/>
      <c r="G51" s="28"/>
      <c r="H51" s="25"/>
      <c r="I51" s="25"/>
      <c r="J51" s="5" t="s">
        <v>306</v>
      </c>
    </row>
    <row r="52" spans="1:10" ht="26.25">
      <c r="A52" s="28" t="s">
        <v>98</v>
      </c>
      <c r="B52" s="25" t="s">
        <v>380</v>
      </c>
      <c r="C52" s="51" t="s">
        <v>250</v>
      </c>
      <c r="D52" s="52">
        <f>263.66*1500</f>
        <v>395490.00000000006</v>
      </c>
      <c r="E52" s="25"/>
      <c r="F52" s="53"/>
      <c r="G52" s="28"/>
      <c r="H52" s="25"/>
      <c r="I52" s="25"/>
      <c r="J52" s="5" t="s">
        <v>306</v>
      </c>
    </row>
    <row r="53" spans="1:10" ht="26.25">
      <c r="A53" s="28" t="s">
        <v>99</v>
      </c>
      <c r="B53" s="25" t="s">
        <v>381</v>
      </c>
      <c r="C53" s="51" t="s">
        <v>250</v>
      </c>
      <c r="D53" s="52">
        <f>336.72*1500</f>
        <v>505080.00000000006</v>
      </c>
      <c r="E53" s="25"/>
      <c r="F53" s="53"/>
      <c r="G53" s="28"/>
      <c r="H53" s="25"/>
      <c r="I53" s="25"/>
      <c r="J53" s="5" t="s">
        <v>306</v>
      </c>
    </row>
    <row r="54" spans="1:10" ht="26.25">
      <c r="A54" s="28" t="s">
        <v>100</v>
      </c>
      <c r="B54" s="25" t="s">
        <v>382</v>
      </c>
      <c r="C54" s="51" t="s">
        <v>250</v>
      </c>
      <c r="D54" s="52">
        <f>214.56*1500</f>
        <v>321840</v>
      </c>
      <c r="E54" s="25"/>
      <c r="F54" s="53"/>
      <c r="G54" s="28"/>
      <c r="H54" s="25"/>
      <c r="I54" s="25"/>
      <c r="J54" s="5" t="s">
        <v>306</v>
      </c>
    </row>
    <row r="55" spans="1:10" ht="26.25">
      <c r="A55" s="28" t="s">
        <v>101</v>
      </c>
      <c r="B55" s="25" t="s">
        <v>383</v>
      </c>
      <c r="C55" s="51" t="s">
        <v>250</v>
      </c>
      <c r="D55" s="52">
        <f>96.69*1500</f>
        <v>145035</v>
      </c>
      <c r="E55" s="25"/>
      <c r="F55" s="53"/>
      <c r="G55" s="28"/>
      <c r="H55" s="25"/>
      <c r="I55" s="25"/>
      <c r="J55" s="5" t="s">
        <v>306</v>
      </c>
    </row>
    <row r="56" spans="1:10" ht="26.25">
      <c r="A56" s="28" t="s">
        <v>102</v>
      </c>
      <c r="B56" s="25" t="s">
        <v>384</v>
      </c>
      <c r="C56" s="51" t="s">
        <v>250</v>
      </c>
      <c r="D56" s="52">
        <f>143.04*1500</f>
        <v>214560</v>
      </c>
      <c r="E56" s="25"/>
      <c r="F56" s="53"/>
      <c r="G56" s="28"/>
      <c r="H56" s="25"/>
      <c r="I56" s="25"/>
      <c r="J56" s="5" t="s">
        <v>306</v>
      </c>
    </row>
    <row r="57" spans="1:10" ht="26.25">
      <c r="A57" s="28" t="s">
        <v>103</v>
      </c>
      <c r="B57" s="25" t="s">
        <v>385</v>
      </c>
      <c r="C57" s="51" t="s">
        <v>250</v>
      </c>
      <c r="D57" s="52">
        <f>71.52*1500</f>
        <v>107280</v>
      </c>
      <c r="E57" s="25"/>
      <c r="F57" s="53"/>
      <c r="G57" s="28"/>
      <c r="H57" s="25"/>
      <c r="I57" s="25"/>
      <c r="J57" s="5" t="s">
        <v>306</v>
      </c>
    </row>
    <row r="58" spans="1:10" ht="26.25">
      <c r="A58" s="28" t="s">
        <v>104</v>
      </c>
      <c r="B58" s="25" t="s">
        <v>386</v>
      </c>
      <c r="C58" s="51" t="s">
        <v>250</v>
      </c>
      <c r="D58" s="52">
        <f>50.33*1500</f>
        <v>75495</v>
      </c>
      <c r="E58" s="25"/>
      <c r="F58" s="53"/>
      <c r="G58" s="28"/>
      <c r="H58" s="25"/>
      <c r="I58" s="25"/>
      <c r="J58" s="5" t="s">
        <v>306</v>
      </c>
    </row>
    <row r="59" spans="1:10" ht="26.25">
      <c r="A59" s="28" t="s">
        <v>105</v>
      </c>
      <c r="B59" s="25" t="s">
        <v>387</v>
      </c>
      <c r="C59" s="51" t="s">
        <v>250</v>
      </c>
      <c r="D59" s="52">
        <f>193.37*1500</f>
        <v>290055</v>
      </c>
      <c r="E59" s="25"/>
      <c r="F59" s="53"/>
      <c r="G59" s="28"/>
      <c r="H59" s="25"/>
      <c r="I59" s="25"/>
      <c r="J59" s="5" t="s">
        <v>306</v>
      </c>
    </row>
    <row r="60" spans="1:10" ht="26.25">
      <c r="A60" s="28" t="s">
        <v>106</v>
      </c>
      <c r="B60" s="25" t="s">
        <v>388</v>
      </c>
      <c r="C60" s="51" t="s">
        <v>250</v>
      </c>
      <c r="D60" s="52">
        <f>189.4*1500</f>
        <v>284100</v>
      </c>
      <c r="E60" s="25"/>
      <c r="F60" s="53"/>
      <c r="G60" s="28"/>
      <c r="H60" s="25"/>
      <c r="I60" s="25"/>
      <c r="J60" s="5" t="s">
        <v>306</v>
      </c>
    </row>
    <row r="61" spans="1:10" ht="26.25">
      <c r="A61" s="28" t="s">
        <v>107</v>
      </c>
      <c r="B61" s="25" t="s">
        <v>389</v>
      </c>
      <c r="C61" s="51" t="s">
        <v>250</v>
      </c>
      <c r="D61" s="52">
        <f>(77.77+219.72)*1500</f>
        <v>446235</v>
      </c>
      <c r="E61" s="25"/>
      <c r="F61" s="53"/>
      <c r="G61" s="28"/>
      <c r="H61" s="25"/>
      <c r="I61" s="25"/>
      <c r="J61" s="5" t="s">
        <v>306</v>
      </c>
    </row>
    <row r="62" spans="1:10" ht="26.25">
      <c r="A62" s="28" t="s">
        <v>108</v>
      </c>
      <c r="B62" s="25" t="s">
        <v>390</v>
      </c>
      <c r="C62" s="51" t="s">
        <v>250</v>
      </c>
      <c r="D62" s="52">
        <f>(332.01+259.02)*1500</f>
        <v>886545</v>
      </c>
      <c r="E62" s="25"/>
      <c r="F62" s="53"/>
      <c r="G62" s="28"/>
      <c r="H62" s="25"/>
      <c r="I62" s="25"/>
      <c r="J62" s="5" t="s">
        <v>306</v>
      </c>
    </row>
    <row r="63" spans="1:10" ht="26.25">
      <c r="A63" s="28" t="s">
        <v>109</v>
      </c>
      <c r="B63" s="25" t="s">
        <v>391</v>
      </c>
      <c r="C63" s="51" t="s">
        <v>250</v>
      </c>
      <c r="D63" s="52">
        <f>(104.53+200.9)*1500</f>
        <v>458145</v>
      </c>
      <c r="E63" s="25"/>
      <c r="F63" s="53"/>
      <c r="G63" s="28"/>
      <c r="H63" s="25"/>
      <c r="I63" s="25"/>
      <c r="J63" s="5" t="s">
        <v>306</v>
      </c>
    </row>
    <row r="64" spans="1:10" ht="26.25">
      <c r="A64" s="28" t="s">
        <v>110</v>
      </c>
      <c r="B64" s="25" t="s">
        <v>392</v>
      </c>
      <c r="C64" s="51" t="s">
        <v>250</v>
      </c>
      <c r="D64" s="52">
        <f>258.58*1500</f>
        <v>387870</v>
      </c>
      <c r="E64" s="25"/>
      <c r="F64" s="53"/>
      <c r="G64" s="28"/>
      <c r="H64" s="25"/>
      <c r="I64" s="25"/>
      <c r="J64" s="5" t="s">
        <v>306</v>
      </c>
    </row>
    <row r="65" spans="1:10" ht="26.25">
      <c r="A65" s="28" t="s">
        <v>238</v>
      </c>
      <c r="B65" s="25" t="s">
        <v>393</v>
      </c>
      <c r="C65" s="51" t="s">
        <v>250</v>
      </c>
      <c r="D65" s="52">
        <f>143.61*1500</f>
        <v>215415.00000000003</v>
      </c>
      <c r="E65" s="25"/>
      <c r="F65" s="53"/>
      <c r="G65" s="28"/>
      <c r="H65" s="25"/>
      <c r="I65" s="25"/>
      <c r="J65" s="5" t="s">
        <v>306</v>
      </c>
    </row>
    <row r="66" spans="1:10" ht="26.25">
      <c r="A66" s="28" t="s">
        <v>111</v>
      </c>
      <c r="B66" s="25" t="s">
        <v>394</v>
      </c>
      <c r="C66" s="51" t="s">
        <v>250</v>
      </c>
      <c r="D66" s="52">
        <f>49.09*1500</f>
        <v>73635</v>
      </c>
      <c r="E66" s="25"/>
      <c r="F66" s="53"/>
      <c r="G66" s="28"/>
      <c r="H66" s="25"/>
      <c r="I66" s="25"/>
      <c r="J66" s="5" t="s">
        <v>306</v>
      </c>
    </row>
    <row r="67" spans="1:10" ht="26.25">
      <c r="A67" s="28" t="s">
        <v>279</v>
      </c>
      <c r="B67" s="25" t="s">
        <v>395</v>
      </c>
      <c r="C67" s="51" t="s">
        <v>250</v>
      </c>
      <c r="D67" s="52">
        <f>77.16*1500</f>
        <v>115740</v>
      </c>
      <c r="E67" s="25"/>
      <c r="F67" s="53"/>
      <c r="G67" s="28"/>
      <c r="H67" s="25"/>
      <c r="I67" s="25"/>
      <c r="J67" s="5" t="s">
        <v>306</v>
      </c>
    </row>
    <row r="68" spans="1:10" ht="26.25">
      <c r="A68" s="28" t="s">
        <v>112</v>
      </c>
      <c r="B68" s="25" t="s">
        <v>396</v>
      </c>
      <c r="C68" s="51" t="s">
        <v>250</v>
      </c>
      <c r="D68" s="52">
        <f>81.89*1500</f>
        <v>122835</v>
      </c>
      <c r="E68" s="25"/>
      <c r="F68" s="53"/>
      <c r="G68" s="28"/>
      <c r="H68" s="25"/>
      <c r="I68" s="25"/>
      <c r="J68" s="5" t="s">
        <v>306</v>
      </c>
    </row>
    <row r="69" spans="1:10" ht="26.25">
      <c r="A69" s="28" t="s">
        <v>113</v>
      </c>
      <c r="B69" s="25" t="s">
        <v>397</v>
      </c>
      <c r="C69" s="51" t="s">
        <v>250</v>
      </c>
      <c r="D69" s="52">
        <f>234.38*1500</f>
        <v>351570</v>
      </c>
      <c r="E69" s="25"/>
      <c r="F69" s="53"/>
      <c r="G69" s="28"/>
      <c r="H69" s="25"/>
      <c r="I69" s="25"/>
      <c r="J69" s="5" t="s">
        <v>306</v>
      </c>
    </row>
    <row r="70" spans="1:10" ht="26.25">
      <c r="A70" s="28" t="s">
        <v>114</v>
      </c>
      <c r="B70" s="25" t="s">
        <v>398</v>
      </c>
      <c r="C70" s="51" t="s">
        <v>250</v>
      </c>
      <c r="D70" s="52">
        <f>(153.79+30.64)*1500</f>
        <v>276645</v>
      </c>
      <c r="E70" s="25"/>
      <c r="F70" s="53"/>
      <c r="G70" s="28"/>
      <c r="H70" s="25"/>
      <c r="I70" s="25"/>
      <c r="J70" s="5" t="s">
        <v>306</v>
      </c>
    </row>
    <row r="71" spans="1:10" ht="26.25">
      <c r="A71" s="28" t="s">
        <v>115</v>
      </c>
      <c r="B71" s="25" t="s">
        <v>399</v>
      </c>
      <c r="C71" s="51" t="s">
        <v>250</v>
      </c>
      <c r="D71" s="52">
        <f>55.18*1500</f>
        <v>82770</v>
      </c>
      <c r="E71" s="25"/>
      <c r="F71" s="53"/>
      <c r="G71" s="28"/>
      <c r="H71" s="25"/>
      <c r="I71" s="25"/>
      <c r="J71" s="5" t="s">
        <v>306</v>
      </c>
    </row>
    <row r="72" spans="1:10" ht="26.25">
      <c r="A72" s="28" t="s">
        <v>239</v>
      </c>
      <c r="B72" s="25" t="s">
        <v>400</v>
      </c>
      <c r="C72" s="51" t="s">
        <v>250</v>
      </c>
      <c r="D72" s="52">
        <f>159.75*1500</f>
        <v>239625</v>
      </c>
      <c r="E72" s="25"/>
      <c r="F72" s="53"/>
      <c r="G72" s="28"/>
      <c r="H72" s="25"/>
      <c r="I72" s="25"/>
      <c r="J72" s="5" t="s">
        <v>306</v>
      </c>
    </row>
    <row r="73" spans="1:10" ht="26.25">
      <c r="A73" s="28" t="s">
        <v>116</v>
      </c>
      <c r="B73" s="25" t="s">
        <v>401</v>
      </c>
      <c r="C73" s="51" t="s">
        <v>250</v>
      </c>
      <c r="D73" s="52">
        <f>51.42*1500</f>
        <v>77130</v>
      </c>
      <c r="E73" s="25"/>
      <c r="F73" s="53"/>
      <c r="G73" s="28"/>
      <c r="H73" s="25"/>
      <c r="I73" s="25"/>
      <c r="J73" s="5" t="s">
        <v>306</v>
      </c>
    </row>
    <row r="74" spans="1:10" ht="26.25">
      <c r="A74" s="28" t="s">
        <v>240</v>
      </c>
      <c r="B74" s="25" t="s">
        <v>402</v>
      </c>
      <c r="C74" s="51" t="s">
        <v>250</v>
      </c>
      <c r="D74" s="52">
        <f>48.29*1500</f>
        <v>72435</v>
      </c>
      <c r="E74" s="25"/>
      <c r="F74" s="53"/>
      <c r="G74" s="28"/>
      <c r="H74" s="25"/>
      <c r="I74" s="25"/>
      <c r="J74" s="5" t="s">
        <v>306</v>
      </c>
    </row>
    <row r="75" spans="1:10" ht="26.25">
      <c r="A75" s="28" t="s">
        <v>241</v>
      </c>
      <c r="B75" s="25" t="s">
        <v>403</v>
      </c>
      <c r="C75" s="51" t="s">
        <v>250</v>
      </c>
      <c r="D75" s="52">
        <f>(199.99+233.88)*1500</f>
        <v>650805</v>
      </c>
      <c r="E75" s="25"/>
      <c r="F75" s="53"/>
      <c r="G75" s="28"/>
      <c r="H75" s="25"/>
      <c r="I75" s="25"/>
      <c r="J75" s="5" t="s">
        <v>306</v>
      </c>
    </row>
    <row r="76" spans="1:10" ht="26.25">
      <c r="A76" s="28" t="s">
        <v>309</v>
      </c>
      <c r="B76" s="25" t="s">
        <v>404</v>
      </c>
      <c r="C76" s="51" t="s">
        <v>250</v>
      </c>
      <c r="D76" s="52">
        <f>(51.4+174.1)*1500</f>
        <v>338250</v>
      </c>
      <c r="E76" s="25"/>
      <c r="F76" s="53"/>
      <c r="G76" s="28"/>
      <c r="H76" s="25"/>
      <c r="I76" s="25"/>
      <c r="J76" s="5" t="s">
        <v>306</v>
      </c>
    </row>
    <row r="77" spans="1:10" ht="26.25">
      <c r="A77" s="28" t="s">
        <v>452</v>
      </c>
      <c r="B77" s="25" t="s">
        <v>405</v>
      </c>
      <c r="C77" s="51" t="s">
        <v>250</v>
      </c>
      <c r="D77" s="52">
        <f>(144.03+202.44)*1500</f>
        <v>519705.00000000006</v>
      </c>
      <c r="E77" s="25"/>
      <c r="F77" s="53"/>
      <c r="G77" s="28"/>
      <c r="H77" s="25"/>
      <c r="I77" s="25"/>
      <c r="J77" s="5" t="s">
        <v>306</v>
      </c>
    </row>
    <row r="78" spans="1:10" ht="26.25">
      <c r="A78" s="28" t="s">
        <v>453</v>
      </c>
      <c r="B78" s="25" t="s">
        <v>406</v>
      </c>
      <c r="C78" s="51" t="s">
        <v>250</v>
      </c>
      <c r="D78" s="52">
        <f>58.24*1500</f>
        <v>87360</v>
      </c>
      <c r="E78" s="25"/>
      <c r="F78" s="53"/>
      <c r="G78" s="28"/>
      <c r="H78" s="25"/>
      <c r="I78" s="25"/>
      <c r="J78" s="5" t="s">
        <v>306</v>
      </c>
    </row>
    <row r="79" spans="1:10" ht="26.25">
      <c r="A79" s="28" t="s">
        <v>454</v>
      </c>
      <c r="B79" s="25" t="s">
        <v>407</v>
      </c>
      <c r="C79" s="51" t="s">
        <v>250</v>
      </c>
      <c r="D79" s="52">
        <f>74.92*1500</f>
        <v>112380</v>
      </c>
      <c r="E79" s="25"/>
      <c r="F79" s="53"/>
      <c r="G79" s="28"/>
      <c r="H79" s="25"/>
      <c r="I79" s="25"/>
      <c r="J79" s="5" t="s">
        <v>306</v>
      </c>
    </row>
    <row r="80" spans="1:10" ht="26.25">
      <c r="A80" s="28" t="s">
        <v>455</v>
      </c>
      <c r="B80" s="25" t="s">
        <v>408</v>
      </c>
      <c r="C80" s="51" t="s">
        <v>250</v>
      </c>
      <c r="D80" s="52">
        <f>(558.57+34.48)*1500</f>
        <v>889575.0000000001</v>
      </c>
      <c r="E80" s="25"/>
      <c r="F80" s="53"/>
      <c r="G80" s="28"/>
      <c r="H80" s="25"/>
      <c r="I80" s="25"/>
      <c r="J80" s="5" t="s">
        <v>306</v>
      </c>
    </row>
    <row r="81" spans="1:10" ht="26.25">
      <c r="A81" s="28" t="s">
        <v>456</v>
      </c>
      <c r="B81" s="25" t="s">
        <v>409</v>
      </c>
      <c r="C81" s="51" t="s">
        <v>250</v>
      </c>
      <c r="D81" s="52">
        <f>(615.1+49.52)*1500</f>
        <v>996930</v>
      </c>
      <c r="E81" s="25"/>
      <c r="F81" s="53"/>
      <c r="G81" s="28"/>
      <c r="H81" s="25"/>
      <c r="I81" s="25"/>
      <c r="J81" s="5" t="s">
        <v>306</v>
      </c>
    </row>
    <row r="82" spans="1:10" ht="26.25">
      <c r="A82" s="28" t="s">
        <v>457</v>
      </c>
      <c r="B82" s="25" t="s">
        <v>410</v>
      </c>
      <c r="C82" s="51" t="s">
        <v>250</v>
      </c>
      <c r="D82" s="52">
        <f>476.68*1500</f>
        <v>715020</v>
      </c>
      <c r="E82" s="25"/>
      <c r="F82" s="53"/>
      <c r="G82" s="28"/>
      <c r="H82" s="25"/>
      <c r="I82" s="25"/>
      <c r="J82" s="5" t="s">
        <v>306</v>
      </c>
    </row>
    <row r="83" spans="1:10" ht="26.25">
      <c r="A83" s="28" t="s">
        <v>458</v>
      </c>
      <c r="B83" s="25" t="s">
        <v>411</v>
      </c>
      <c r="C83" s="51" t="s">
        <v>250</v>
      </c>
      <c r="D83" s="52">
        <f>395.12*1500</f>
        <v>592680</v>
      </c>
      <c r="E83" s="25"/>
      <c r="F83" s="53"/>
      <c r="G83" s="28"/>
      <c r="H83" s="25"/>
      <c r="I83" s="25"/>
      <c r="J83" s="5" t="s">
        <v>306</v>
      </c>
    </row>
    <row r="84" spans="1:10" ht="26.25">
      <c r="A84" s="28" t="s">
        <v>459</v>
      </c>
      <c r="B84" s="25" t="s">
        <v>412</v>
      </c>
      <c r="C84" s="51" t="s">
        <v>250</v>
      </c>
      <c r="D84" s="52">
        <f>166.35*1500</f>
        <v>249525</v>
      </c>
      <c r="E84" s="25"/>
      <c r="F84" s="53"/>
      <c r="G84" s="28"/>
      <c r="H84" s="25"/>
      <c r="I84" s="25"/>
      <c r="J84" s="5" t="s">
        <v>306</v>
      </c>
    </row>
    <row r="85" spans="1:10" ht="26.25">
      <c r="A85" s="28" t="s">
        <v>460</v>
      </c>
      <c r="B85" s="25" t="s">
        <v>260</v>
      </c>
      <c r="C85" s="51" t="s">
        <v>250</v>
      </c>
      <c r="D85" s="52">
        <f>90.4*1500</f>
        <v>135600</v>
      </c>
      <c r="E85" s="25"/>
      <c r="F85" s="53"/>
      <c r="G85" s="28"/>
      <c r="H85" s="25"/>
      <c r="I85" s="25"/>
      <c r="J85" s="5" t="s">
        <v>306</v>
      </c>
    </row>
    <row r="86" spans="1:10" ht="26.25">
      <c r="A86" s="28" t="s">
        <v>461</v>
      </c>
      <c r="B86" s="25" t="s">
        <v>84</v>
      </c>
      <c r="C86" s="51" t="s">
        <v>255</v>
      </c>
      <c r="D86" s="52">
        <v>4492.79</v>
      </c>
      <c r="E86" s="25"/>
      <c r="F86" s="53"/>
      <c r="G86" s="28"/>
      <c r="H86" s="25"/>
      <c r="I86" s="25"/>
      <c r="J86" s="5" t="s">
        <v>307</v>
      </c>
    </row>
    <row r="87" spans="1:10" ht="26.25">
      <c r="A87" s="28" t="s">
        <v>462</v>
      </c>
      <c r="B87" s="25" t="s">
        <v>261</v>
      </c>
      <c r="C87" s="51" t="s">
        <v>255</v>
      </c>
      <c r="D87" s="52">
        <v>4019</v>
      </c>
      <c r="E87" s="25"/>
      <c r="F87" s="53"/>
      <c r="G87" s="28"/>
      <c r="H87" s="25"/>
      <c r="I87" s="25"/>
      <c r="J87" s="5" t="s">
        <v>307</v>
      </c>
    </row>
    <row r="88" spans="1:10" ht="12.75">
      <c r="A88" s="28" t="s">
        <v>463</v>
      </c>
      <c r="B88" s="25" t="s">
        <v>86</v>
      </c>
      <c r="C88" s="51" t="s">
        <v>255</v>
      </c>
      <c r="D88" s="52">
        <v>12389.67</v>
      </c>
      <c r="E88" s="25"/>
      <c r="F88" s="53"/>
      <c r="G88" s="28"/>
      <c r="H88" s="25"/>
      <c r="I88" s="25"/>
      <c r="J88" s="5" t="s">
        <v>307</v>
      </c>
    </row>
    <row r="89" spans="1:10" ht="12.75">
      <c r="A89" s="28" t="s">
        <v>464</v>
      </c>
      <c r="B89" s="25" t="s">
        <v>414</v>
      </c>
      <c r="C89" s="51" t="s">
        <v>255</v>
      </c>
      <c r="D89" s="52">
        <v>4975.86</v>
      </c>
      <c r="E89" s="25"/>
      <c r="F89" s="53"/>
      <c r="G89" s="28"/>
      <c r="H89" s="25"/>
      <c r="I89" s="25"/>
      <c r="J89" s="5" t="s">
        <v>307</v>
      </c>
    </row>
    <row r="90" spans="1:10" ht="26.25">
      <c r="A90" s="28" t="s">
        <v>465</v>
      </c>
      <c r="B90" s="25" t="s">
        <v>416</v>
      </c>
      <c r="C90" s="51" t="s">
        <v>255</v>
      </c>
      <c r="D90" s="52">
        <v>97498.02</v>
      </c>
      <c r="E90" s="25"/>
      <c r="F90" s="53"/>
      <c r="G90" s="28"/>
      <c r="H90" s="25"/>
      <c r="I90" s="25"/>
      <c r="J90" s="5" t="s">
        <v>307</v>
      </c>
    </row>
    <row r="91" spans="1:10" ht="12.75">
      <c r="A91" s="28" t="s">
        <v>466</v>
      </c>
      <c r="B91" s="25" t="s">
        <v>87</v>
      </c>
      <c r="C91" s="51" t="s">
        <v>255</v>
      </c>
      <c r="D91" s="52">
        <v>21834</v>
      </c>
      <c r="E91" s="25"/>
      <c r="F91" s="53"/>
      <c r="G91" s="28"/>
      <c r="H91" s="25"/>
      <c r="I91" s="25"/>
      <c r="J91" s="5" t="s">
        <v>307</v>
      </c>
    </row>
    <row r="92" spans="1:10" ht="12.75">
      <c r="A92" s="28" t="s">
        <v>467</v>
      </c>
      <c r="B92" s="25" t="s">
        <v>413</v>
      </c>
      <c r="C92" s="51" t="s">
        <v>255</v>
      </c>
      <c r="D92" s="52">
        <v>3164.34</v>
      </c>
      <c r="E92" s="25"/>
      <c r="F92" s="53"/>
      <c r="G92" s="28"/>
      <c r="H92" s="25"/>
      <c r="I92" s="25"/>
      <c r="J92" s="5" t="s">
        <v>307</v>
      </c>
    </row>
    <row r="93" spans="1:10" ht="12.75">
      <c r="A93" s="28" t="s">
        <v>468</v>
      </c>
      <c r="B93" s="25" t="s">
        <v>88</v>
      </c>
      <c r="C93" s="51" t="s">
        <v>255</v>
      </c>
      <c r="D93" s="52">
        <v>75545.39</v>
      </c>
      <c r="E93" s="25"/>
      <c r="F93" s="53"/>
      <c r="G93" s="28"/>
      <c r="H93" s="25"/>
      <c r="I93" s="25"/>
      <c r="J93" s="5" t="s">
        <v>307</v>
      </c>
    </row>
    <row r="94" spans="1:10" ht="12.75">
      <c r="A94" s="28" t="s">
        <v>469</v>
      </c>
      <c r="B94" s="25" t="s">
        <v>88</v>
      </c>
      <c r="C94" s="51" t="s">
        <v>255</v>
      </c>
      <c r="D94" s="52">
        <v>22948.76</v>
      </c>
      <c r="E94" s="25"/>
      <c r="F94" s="53"/>
      <c r="G94" s="28"/>
      <c r="H94" s="25"/>
      <c r="I94" s="25"/>
      <c r="J94" s="5" t="s">
        <v>307</v>
      </c>
    </row>
    <row r="95" spans="1:10" ht="26.25">
      <c r="A95" s="28" t="s">
        <v>470</v>
      </c>
      <c r="B95" s="25" t="s">
        <v>89</v>
      </c>
      <c r="C95" s="51" t="s">
        <v>255</v>
      </c>
      <c r="D95" s="52">
        <v>6640</v>
      </c>
      <c r="E95" s="25"/>
      <c r="F95" s="53"/>
      <c r="G95" s="28"/>
      <c r="H95" s="25"/>
      <c r="I95" s="25"/>
      <c r="J95" s="5" t="s">
        <v>307</v>
      </c>
    </row>
    <row r="96" spans="1:10" ht="12.75">
      <c r="A96" s="28" t="s">
        <v>471</v>
      </c>
      <c r="B96" s="25" t="s">
        <v>90</v>
      </c>
      <c r="C96" s="51" t="s">
        <v>255</v>
      </c>
      <c r="D96" s="52">
        <v>1464.48</v>
      </c>
      <c r="E96" s="25"/>
      <c r="F96" s="53"/>
      <c r="G96" s="28"/>
      <c r="H96" s="25"/>
      <c r="I96" s="25"/>
      <c r="J96" s="5" t="s">
        <v>307</v>
      </c>
    </row>
    <row r="97" spans="1:10" ht="12.75">
      <c r="A97" s="28" t="s">
        <v>472</v>
      </c>
      <c r="B97" s="25" t="s">
        <v>91</v>
      </c>
      <c r="C97" s="51" t="s">
        <v>255</v>
      </c>
      <c r="D97" s="52">
        <v>6478.81</v>
      </c>
      <c r="E97" s="25"/>
      <c r="F97" s="53"/>
      <c r="G97" s="28"/>
      <c r="H97" s="25"/>
      <c r="I97" s="25"/>
      <c r="J97" s="5" t="s">
        <v>307</v>
      </c>
    </row>
    <row r="98" spans="1:10" ht="26.25">
      <c r="A98" s="28" t="s">
        <v>473</v>
      </c>
      <c r="B98" s="25" t="s">
        <v>280</v>
      </c>
      <c r="C98" s="51" t="s">
        <v>255</v>
      </c>
      <c r="D98" s="52">
        <f>36900+409252.74+79246.81</f>
        <v>525399.55</v>
      </c>
      <c r="E98" s="25"/>
      <c r="F98" s="53"/>
      <c r="G98" s="28"/>
      <c r="H98" s="25"/>
      <c r="I98" s="25"/>
      <c r="J98" s="5" t="s">
        <v>307</v>
      </c>
    </row>
    <row r="99" spans="1:10" ht="12.75">
      <c r="A99" s="28" t="s">
        <v>474</v>
      </c>
      <c r="B99" s="25" t="s">
        <v>424</v>
      </c>
      <c r="C99" s="51" t="s">
        <v>255</v>
      </c>
      <c r="D99" s="52">
        <f>120024.62</f>
        <v>120024.62</v>
      </c>
      <c r="E99" s="25"/>
      <c r="F99" s="53"/>
      <c r="G99" s="28"/>
      <c r="H99" s="25"/>
      <c r="I99" s="25"/>
      <c r="J99" s="5" t="s">
        <v>307</v>
      </c>
    </row>
    <row r="100" spans="1:10" ht="12.75">
      <c r="A100" s="28" t="s">
        <v>475</v>
      </c>
      <c r="B100" s="25" t="s">
        <v>415</v>
      </c>
      <c r="C100" s="51" t="s">
        <v>255</v>
      </c>
      <c r="D100" s="52">
        <v>317301.6</v>
      </c>
      <c r="E100" s="25"/>
      <c r="F100" s="53"/>
      <c r="G100" s="28"/>
      <c r="H100" s="25"/>
      <c r="I100" s="25"/>
      <c r="J100" s="5" t="s">
        <v>307</v>
      </c>
    </row>
    <row r="101" spans="1:10" ht="26.25">
      <c r="A101" s="28" t="s">
        <v>476</v>
      </c>
      <c r="B101" s="25" t="s">
        <v>417</v>
      </c>
      <c r="C101" s="51" t="s">
        <v>255</v>
      </c>
      <c r="D101" s="52">
        <v>283958.35</v>
      </c>
      <c r="E101" s="25"/>
      <c r="F101" s="53"/>
      <c r="G101" s="28"/>
      <c r="H101" s="25"/>
      <c r="I101" s="25"/>
      <c r="J101" s="5" t="s">
        <v>307</v>
      </c>
    </row>
    <row r="102" spans="1:10" ht="26.25">
      <c r="A102" s="28" t="s">
        <v>477</v>
      </c>
      <c r="B102" s="25" t="s">
        <v>92</v>
      </c>
      <c r="C102" s="51" t="s">
        <v>255</v>
      </c>
      <c r="D102" s="52">
        <v>59113.8</v>
      </c>
      <c r="E102" s="25"/>
      <c r="F102" s="53"/>
      <c r="G102" s="28"/>
      <c r="H102" s="25"/>
      <c r="I102" s="25"/>
      <c r="J102" s="5" t="s">
        <v>307</v>
      </c>
    </row>
    <row r="103" spans="1:10" ht="26.25">
      <c r="A103" s="28" t="s">
        <v>478</v>
      </c>
      <c r="B103" s="25" t="s">
        <v>419</v>
      </c>
      <c r="C103" s="51" t="s">
        <v>255</v>
      </c>
      <c r="D103" s="52">
        <v>30258</v>
      </c>
      <c r="E103" s="25"/>
      <c r="F103" s="53"/>
      <c r="G103" s="28"/>
      <c r="H103" s="25"/>
      <c r="I103" s="25"/>
      <c r="J103" s="5" t="s">
        <v>307</v>
      </c>
    </row>
    <row r="104" spans="1:10" ht="52.5">
      <c r="A104" s="28" t="s">
        <v>479</v>
      </c>
      <c r="B104" s="25" t="s">
        <v>418</v>
      </c>
      <c r="C104" s="51" t="s">
        <v>255</v>
      </c>
      <c r="D104" s="52">
        <v>8610</v>
      </c>
      <c r="E104" s="25"/>
      <c r="F104" s="53"/>
      <c r="G104" s="28"/>
      <c r="H104" s="25"/>
      <c r="I104" s="25"/>
      <c r="J104" s="5" t="s">
        <v>307</v>
      </c>
    </row>
    <row r="105" spans="1:10" ht="12.75">
      <c r="A105" s="28" t="s">
        <v>480</v>
      </c>
      <c r="B105" s="25" t="s">
        <v>94</v>
      </c>
      <c r="C105" s="51" t="s">
        <v>255</v>
      </c>
      <c r="D105" s="52">
        <v>29892</v>
      </c>
      <c r="E105" s="25"/>
      <c r="F105" s="53"/>
      <c r="G105" s="28"/>
      <c r="H105" s="25"/>
      <c r="I105" s="25"/>
      <c r="J105" s="5" t="s">
        <v>307</v>
      </c>
    </row>
    <row r="106" spans="1:10" ht="12.75">
      <c r="A106" s="28" t="s">
        <v>481</v>
      </c>
      <c r="B106" s="25" t="s">
        <v>85</v>
      </c>
      <c r="C106" s="51" t="s">
        <v>255</v>
      </c>
      <c r="D106" s="52">
        <v>21402</v>
      </c>
      <c r="E106" s="25"/>
      <c r="F106" s="53"/>
      <c r="G106" s="28"/>
      <c r="H106" s="25"/>
      <c r="I106" s="25"/>
      <c r="J106" s="5" t="s">
        <v>307</v>
      </c>
    </row>
    <row r="107" spans="1:10" ht="39">
      <c r="A107" s="28" t="s">
        <v>482</v>
      </c>
      <c r="B107" s="25" t="s">
        <v>420</v>
      </c>
      <c r="C107" s="51" t="s">
        <v>255</v>
      </c>
      <c r="D107" s="52">
        <v>64000</v>
      </c>
      <c r="E107" s="25"/>
      <c r="F107" s="53"/>
      <c r="G107" s="28"/>
      <c r="H107" s="25"/>
      <c r="I107" s="25"/>
      <c r="J107" s="5" t="s">
        <v>307</v>
      </c>
    </row>
    <row r="108" spans="1:10" ht="26.25">
      <c r="A108" s="28" t="s">
        <v>483</v>
      </c>
      <c r="B108" s="25" t="s">
        <v>421</v>
      </c>
      <c r="C108" s="51" t="s">
        <v>255</v>
      </c>
      <c r="D108" s="52">
        <v>16753</v>
      </c>
      <c r="E108" s="25"/>
      <c r="F108" s="53"/>
      <c r="G108" s="28"/>
      <c r="H108" s="25"/>
      <c r="I108" s="25"/>
      <c r="J108" s="5" t="s">
        <v>307</v>
      </c>
    </row>
    <row r="109" spans="1:10" ht="26.25">
      <c r="A109" s="28" t="s">
        <v>484</v>
      </c>
      <c r="B109" s="25" t="s">
        <v>422</v>
      </c>
      <c r="C109" s="51" t="s">
        <v>255</v>
      </c>
      <c r="D109" s="52">
        <v>4000</v>
      </c>
      <c r="E109" s="25"/>
      <c r="F109" s="53"/>
      <c r="G109" s="28"/>
      <c r="H109" s="25"/>
      <c r="I109" s="25"/>
      <c r="J109" s="5" t="s">
        <v>307</v>
      </c>
    </row>
    <row r="110" spans="1:10" ht="26.25">
      <c r="A110" s="28" t="s">
        <v>485</v>
      </c>
      <c r="B110" s="25" t="s">
        <v>423</v>
      </c>
      <c r="C110" s="51" t="s">
        <v>255</v>
      </c>
      <c r="D110" s="52">
        <v>20995</v>
      </c>
      <c r="E110" s="25"/>
      <c r="F110" s="53"/>
      <c r="G110" s="28"/>
      <c r="H110" s="25"/>
      <c r="I110" s="25"/>
      <c r="J110" s="5" t="s">
        <v>307</v>
      </c>
    </row>
    <row r="111" spans="1:10" ht="12.75">
      <c r="A111" s="28" t="s">
        <v>486</v>
      </c>
      <c r="B111" s="25" t="s">
        <v>425</v>
      </c>
      <c r="C111" s="51" t="s">
        <v>255</v>
      </c>
      <c r="D111" s="52">
        <v>32595</v>
      </c>
      <c r="E111" s="25"/>
      <c r="F111" s="53"/>
      <c r="G111" s="28"/>
      <c r="H111" s="25"/>
      <c r="I111" s="25"/>
      <c r="J111" s="5" t="s">
        <v>307</v>
      </c>
    </row>
    <row r="112" spans="1:10" ht="26.25">
      <c r="A112" s="28" t="s">
        <v>487</v>
      </c>
      <c r="B112" s="25" t="s">
        <v>426</v>
      </c>
      <c r="C112" s="51" t="s">
        <v>255</v>
      </c>
      <c r="D112" s="52">
        <v>110869.22</v>
      </c>
      <c r="E112" s="25"/>
      <c r="F112" s="53"/>
      <c r="G112" s="28"/>
      <c r="H112" s="25"/>
      <c r="I112" s="25"/>
      <c r="J112" s="5" t="s">
        <v>307</v>
      </c>
    </row>
    <row r="113" spans="1:10" ht="12.75">
      <c r="A113" s="28" t="s">
        <v>488</v>
      </c>
      <c r="B113" s="25" t="s">
        <v>427</v>
      </c>
      <c r="C113" s="51" t="s">
        <v>255</v>
      </c>
      <c r="D113" s="52">
        <v>112705.6</v>
      </c>
      <c r="E113" s="25"/>
      <c r="F113" s="53"/>
      <c r="G113" s="28"/>
      <c r="H113" s="25"/>
      <c r="I113" s="25"/>
      <c r="J113" s="5" t="s">
        <v>307</v>
      </c>
    </row>
    <row r="114" spans="1:10" ht="26.25">
      <c r="A114" s="28" t="s">
        <v>489</v>
      </c>
      <c r="B114" s="25" t="s">
        <v>428</v>
      </c>
      <c r="C114" s="51" t="s">
        <v>255</v>
      </c>
      <c r="D114" s="52">
        <v>439097.48</v>
      </c>
      <c r="E114" s="25"/>
      <c r="F114" s="53"/>
      <c r="G114" s="28"/>
      <c r="H114" s="25"/>
      <c r="I114" s="25"/>
      <c r="J114" s="5" t="s">
        <v>307</v>
      </c>
    </row>
    <row r="115" spans="1:10" ht="105">
      <c r="A115" s="28" t="s">
        <v>490</v>
      </c>
      <c r="B115" s="25" t="s">
        <v>435</v>
      </c>
      <c r="C115" s="51" t="s">
        <v>255</v>
      </c>
      <c r="D115" s="52">
        <v>165861.97</v>
      </c>
      <c r="E115" s="25"/>
      <c r="F115" s="53"/>
      <c r="G115" s="28"/>
      <c r="H115" s="25"/>
      <c r="I115" s="25"/>
      <c r="J115" s="5" t="s">
        <v>307</v>
      </c>
    </row>
    <row r="116" spans="1:10" ht="66">
      <c r="A116" s="28" t="s">
        <v>491</v>
      </c>
      <c r="B116" s="25" t="s">
        <v>436</v>
      </c>
      <c r="C116" s="51" t="s">
        <v>255</v>
      </c>
      <c r="D116" s="52">
        <f>2952*2+5707.2+578.1+947.1+4612.5</f>
        <v>17748.9</v>
      </c>
      <c r="E116" s="25"/>
      <c r="F116" s="53"/>
      <c r="G116" s="28"/>
      <c r="H116" s="25"/>
      <c r="I116" s="25"/>
      <c r="J116" s="5" t="s">
        <v>307</v>
      </c>
    </row>
    <row r="117" spans="1:10" ht="12.75">
      <c r="A117" s="28" t="s">
        <v>492</v>
      </c>
      <c r="B117" s="25" t="s">
        <v>96</v>
      </c>
      <c r="C117" s="51" t="s">
        <v>255</v>
      </c>
      <c r="D117" s="52">
        <f>5535+1342.18+29525.93+52331.27+1801.8+24752.12+24836.94+24836.94+3717.34+14560.56+17568+3660+134333.47+406592.4</f>
        <v>745393.95</v>
      </c>
      <c r="E117" s="25"/>
      <c r="F117" s="53"/>
      <c r="G117" s="28"/>
      <c r="H117" s="25"/>
      <c r="I117" s="25"/>
      <c r="J117" s="5" t="s">
        <v>308</v>
      </c>
    </row>
    <row r="118" spans="1:10" ht="66">
      <c r="A118" s="28" t="s">
        <v>493</v>
      </c>
      <c r="B118" s="25" t="s">
        <v>234</v>
      </c>
      <c r="C118" s="51" t="s">
        <v>255</v>
      </c>
      <c r="D118" s="52">
        <v>104854.2</v>
      </c>
      <c r="E118" s="25"/>
      <c r="F118" s="53"/>
      <c r="G118" s="28"/>
      <c r="H118" s="25"/>
      <c r="I118" s="25"/>
      <c r="J118" s="5" t="s">
        <v>308</v>
      </c>
    </row>
    <row r="119" spans="1:10" ht="12.75">
      <c r="A119" s="28" t="s">
        <v>494</v>
      </c>
      <c r="B119" s="25" t="s">
        <v>95</v>
      </c>
      <c r="C119" s="51" t="s">
        <v>255</v>
      </c>
      <c r="D119" s="52">
        <v>76629</v>
      </c>
      <c r="E119" s="25"/>
      <c r="F119" s="53"/>
      <c r="G119" s="28"/>
      <c r="H119" s="25"/>
      <c r="I119" s="25"/>
      <c r="J119" s="5" t="s">
        <v>308</v>
      </c>
    </row>
    <row r="120" spans="1:10" ht="12.75">
      <c r="A120" s="28" t="s">
        <v>495</v>
      </c>
      <c r="B120" s="25" t="s">
        <v>120</v>
      </c>
      <c r="C120" s="51" t="s">
        <v>255</v>
      </c>
      <c r="D120" s="52">
        <f>6314.34+26000+11597.67+10000+11562</f>
        <v>65474.01</v>
      </c>
      <c r="E120" s="25"/>
      <c r="F120" s="53"/>
      <c r="G120" s="28"/>
      <c r="H120" s="25"/>
      <c r="I120" s="25"/>
      <c r="J120" s="5" t="s">
        <v>308</v>
      </c>
    </row>
    <row r="121" spans="1:10" ht="12.75">
      <c r="A121" s="28" t="s">
        <v>496</v>
      </c>
      <c r="B121" s="25" t="s">
        <v>431</v>
      </c>
      <c r="C121" s="51" t="s">
        <v>255</v>
      </c>
      <c r="D121" s="52">
        <v>520394.99</v>
      </c>
      <c r="E121" s="25"/>
      <c r="F121" s="53"/>
      <c r="G121" s="28"/>
      <c r="H121" s="25"/>
      <c r="I121" s="25"/>
      <c r="J121" s="5" t="s">
        <v>308</v>
      </c>
    </row>
    <row r="122" spans="1:10" ht="12.75">
      <c r="A122" s="28" t="s">
        <v>497</v>
      </c>
      <c r="B122" s="25" t="s">
        <v>433</v>
      </c>
      <c r="C122" s="51" t="s">
        <v>255</v>
      </c>
      <c r="D122" s="52">
        <v>18450</v>
      </c>
      <c r="E122" s="25"/>
      <c r="F122" s="53"/>
      <c r="G122" s="28"/>
      <c r="H122" s="25"/>
      <c r="I122" s="25"/>
      <c r="J122" s="5" t="s">
        <v>308</v>
      </c>
    </row>
    <row r="123" spans="1:10" ht="26.25">
      <c r="A123" s="28" t="s">
        <v>498</v>
      </c>
      <c r="B123" s="25" t="s">
        <v>432</v>
      </c>
      <c r="C123" s="51" t="s">
        <v>255</v>
      </c>
      <c r="D123" s="52">
        <v>123198.03</v>
      </c>
      <c r="E123" s="25"/>
      <c r="F123" s="53"/>
      <c r="G123" s="28"/>
      <c r="H123" s="25"/>
      <c r="I123" s="25"/>
      <c r="J123" s="5" t="s">
        <v>308</v>
      </c>
    </row>
    <row r="124" spans="1:10" ht="12.75">
      <c r="A124" s="28" t="s">
        <v>499</v>
      </c>
      <c r="B124" s="25" t="s">
        <v>434</v>
      </c>
      <c r="C124" s="51" t="s">
        <v>255</v>
      </c>
      <c r="D124" s="52">
        <v>23402.73</v>
      </c>
      <c r="E124" s="25"/>
      <c r="F124" s="53"/>
      <c r="G124" s="28"/>
      <c r="H124" s="25"/>
      <c r="I124" s="25"/>
      <c r="J124" s="5" t="s">
        <v>308</v>
      </c>
    </row>
    <row r="125" spans="1:10" ht="26.25">
      <c r="A125" s="28" t="s">
        <v>500</v>
      </c>
      <c r="B125" s="25" t="s">
        <v>429</v>
      </c>
      <c r="C125" s="51" t="s">
        <v>255</v>
      </c>
      <c r="D125" s="52">
        <v>31350.23</v>
      </c>
      <c r="E125" s="25"/>
      <c r="F125" s="53"/>
      <c r="G125" s="28"/>
      <c r="H125" s="25"/>
      <c r="I125" s="25"/>
      <c r="J125" s="5" t="s">
        <v>430</v>
      </c>
    </row>
    <row r="126" spans="1:10" ht="12.75">
      <c r="A126" s="28" t="s">
        <v>501</v>
      </c>
      <c r="B126" s="25" t="s">
        <v>93</v>
      </c>
      <c r="C126" s="51" t="s">
        <v>255</v>
      </c>
      <c r="D126" s="52">
        <v>4969.1</v>
      </c>
      <c r="E126" s="25"/>
      <c r="F126" s="53"/>
      <c r="G126" s="28"/>
      <c r="H126" s="25"/>
      <c r="I126" s="25"/>
      <c r="J126" s="5" t="s">
        <v>308</v>
      </c>
    </row>
    <row r="127" spans="1:9" ht="12.75">
      <c r="A127" s="56" t="s">
        <v>122</v>
      </c>
      <c r="B127" s="57"/>
      <c r="C127" s="58"/>
      <c r="D127" s="58"/>
      <c r="E127" s="56"/>
      <c r="F127" s="58"/>
      <c r="G127" s="56"/>
      <c r="H127" s="59"/>
      <c r="I127" s="60"/>
    </row>
    <row r="128" spans="1:9" ht="12.75">
      <c r="A128" s="49"/>
      <c r="B128" s="49"/>
      <c r="C128" s="49"/>
      <c r="D128" s="50"/>
      <c r="E128" s="49"/>
      <c r="F128" s="113" t="s">
        <v>38</v>
      </c>
      <c r="G128" s="113"/>
      <c r="H128" s="113"/>
      <c r="I128" s="113"/>
    </row>
    <row r="129" spans="1:9" ht="26.25">
      <c r="A129" s="49" t="s">
        <v>0</v>
      </c>
      <c r="B129" s="49" t="s">
        <v>1</v>
      </c>
      <c r="C129" s="50" t="s">
        <v>249</v>
      </c>
      <c r="D129" s="50" t="s">
        <v>52</v>
      </c>
      <c r="E129" s="49" t="s">
        <v>46</v>
      </c>
      <c r="F129" s="50" t="s">
        <v>39</v>
      </c>
      <c r="G129" s="49" t="s">
        <v>40</v>
      </c>
      <c r="H129" s="50" t="s">
        <v>41</v>
      </c>
      <c r="I129" s="49" t="s">
        <v>42</v>
      </c>
    </row>
    <row r="130" spans="1:10" ht="12.75" customHeight="1">
      <c r="A130" s="30" t="s">
        <v>3</v>
      </c>
      <c r="B130" s="6" t="s">
        <v>2</v>
      </c>
      <c r="C130" s="61" t="s">
        <v>255</v>
      </c>
      <c r="D130" s="62">
        <f>6646.41+14500+2520.82+8268.63+5459.38+127941.53+7306.58+9056.27+10750+1350+4110+30176.42+239000+4700</f>
        <v>471786.04</v>
      </c>
      <c r="E130" s="28"/>
      <c r="F130" s="63"/>
      <c r="G130" s="64"/>
      <c r="H130" s="63"/>
      <c r="I130" s="64"/>
      <c r="J130" s="5" t="s">
        <v>308</v>
      </c>
    </row>
    <row r="131" spans="1:10" ht="12.75" customHeight="1">
      <c r="A131" s="30" t="s">
        <v>4</v>
      </c>
      <c r="B131" s="6" t="s">
        <v>120</v>
      </c>
      <c r="C131" s="29" t="s">
        <v>255</v>
      </c>
      <c r="D131" s="9">
        <f>3731.71+18830</f>
        <v>22561.71</v>
      </c>
      <c r="E131" s="28"/>
      <c r="F131" s="63"/>
      <c r="G131" s="64"/>
      <c r="H131" s="63"/>
      <c r="I131" s="64"/>
      <c r="J131" s="5" t="s">
        <v>308</v>
      </c>
    </row>
    <row r="132" spans="1:9" ht="12.75">
      <c r="A132" s="56" t="s">
        <v>130</v>
      </c>
      <c r="B132" s="57"/>
      <c r="C132" s="58"/>
      <c r="D132" s="58"/>
      <c r="E132" s="56"/>
      <c r="F132" s="58"/>
      <c r="G132" s="56"/>
      <c r="H132" s="59"/>
      <c r="I132" s="60"/>
    </row>
    <row r="133" spans="1:9" ht="12.75">
      <c r="A133" s="49"/>
      <c r="B133" s="49"/>
      <c r="C133" s="49"/>
      <c r="D133" s="50"/>
      <c r="E133" s="49"/>
      <c r="F133" s="113" t="s">
        <v>38</v>
      </c>
      <c r="G133" s="113"/>
      <c r="H133" s="113"/>
      <c r="I133" s="113"/>
    </row>
    <row r="134" spans="1:9" ht="26.25">
      <c r="A134" s="49" t="s">
        <v>0</v>
      </c>
      <c r="B134" s="49" t="s">
        <v>1</v>
      </c>
      <c r="C134" s="50" t="s">
        <v>249</v>
      </c>
      <c r="D134" s="50" t="s">
        <v>52</v>
      </c>
      <c r="E134" s="49" t="s">
        <v>46</v>
      </c>
      <c r="F134" s="50" t="s">
        <v>39</v>
      </c>
      <c r="G134" s="49" t="s">
        <v>40</v>
      </c>
      <c r="H134" s="50" t="s">
        <v>41</v>
      </c>
      <c r="I134" s="49" t="s">
        <v>42</v>
      </c>
    </row>
    <row r="135" spans="1:10" ht="12.75">
      <c r="A135" s="30" t="s">
        <v>3</v>
      </c>
      <c r="B135" s="6" t="s">
        <v>2</v>
      </c>
      <c r="C135" s="61" t="s">
        <v>255</v>
      </c>
      <c r="D135" s="9">
        <f>859.02+199+836.4+390+849+649</f>
        <v>3782.42</v>
      </c>
      <c r="E135" s="6"/>
      <c r="F135" s="65"/>
      <c r="G135" s="6"/>
      <c r="H135" s="65"/>
      <c r="I135" s="6"/>
      <c r="J135" s="5" t="s">
        <v>308</v>
      </c>
    </row>
    <row r="136" spans="1:10" ht="12.75">
      <c r="A136" s="30" t="s">
        <v>4</v>
      </c>
      <c r="B136" s="6" t="s">
        <v>120</v>
      </c>
      <c r="C136" s="61" t="s">
        <v>255</v>
      </c>
      <c r="D136" s="9">
        <v>3590</v>
      </c>
      <c r="E136" s="6"/>
      <c r="F136" s="65"/>
      <c r="G136" s="6"/>
      <c r="H136" s="65"/>
      <c r="I136" s="6"/>
      <c r="J136" s="5" t="s">
        <v>308</v>
      </c>
    </row>
    <row r="137" spans="1:9" s="55" customFormat="1" ht="12.75">
      <c r="A137" s="56" t="s">
        <v>132</v>
      </c>
      <c r="B137" s="57"/>
      <c r="C137" s="58"/>
      <c r="D137" s="58"/>
      <c r="E137" s="56"/>
      <c r="F137" s="58"/>
      <c r="G137" s="56"/>
      <c r="H137" s="59"/>
      <c r="I137" s="60"/>
    </row>
    <row r="138" spans="1:9" s="55" customFormat="1" ht="12.75">
      <c r="A138" s="66"/>
      <c r="B138" s="66"/>
      <c r="C138" s="66"/>
      <c r="D138" s="67"/>
      <c r="E138" s="66"/>
      <c r="F138" s="112" t="s">
        <v>38</v>
      </c>
      <c r="G138" s="112"/>
      <c r="H138" s="112"/>
      <c r="I138" s="112"/>
    </row>
    <row r="139" spans="1:9" s="55" customFormat="1" ht="26.25">
      <c r="A139" s="66" t="s">
        <v>0</v>
      </c>
      <c r="B139" s="66" t="s">
        <v>1</v>
      </c>
      <c r="C139" s="67" t="s">
        <v>249</v>
      </c>
      <c r="D139" s="50" t="s">
        <v>52</v>
      </c>
      <c r="E139" s="66" t="s">
        <v>46</v>
      </c>
      <c r="F139" s="67" t="s">
        <v>39</v>
      </c>
      <c r="G139" s="66" t="s">
        <v>40</v>
      </c>
      <c r="H139" s="67" t="s">
        <v>41</v>
      </c>
      <c r="I139" s="66" t="s">
        <v>42</v>
      </c>
    </row>
    <row r="140" spans="1:9" s="55" customFormat="1" ht="13.5" customHeight="1">
      <c r="A140" s="30" t="s">
        <v>3</v>
      </c>
      <c r="B140" s="7" t="s">
        <v>131</v>
      </c>
      <c r="C140" s="61"/>
      <c r="D140" s="61"/>
      <c r="E140" s="7"/>
      <c r="F140" s="61"/>
      <c r="G140" s="7"/>
      <c r="H140" s="61"/>
      <c r="I140" s="7"/>
    </row>
    <row r="141" spans="1:9" s="55" customFormat="1" ht="12.75">
      <c r="A141" s="56" t="s">
        <v>133</v>
      </c>
      <c r="B141" s="57"/>
      <c r="C141" s="58"/>
      <c r="D141" s="58"/>
      <c r="E141" s="56"/>
      <c r="F141" s="58"/>
      <c r="G141" s="56"/>
      <c r="H141" s="59"/>
      <c r="I141" s="60"/>
    </row>
    <row r="142" spans="1:9" s="55" customFormat="1" ht="12.75">
      <c r="A142" s="66"/>
      <c r="B142" s="66"/>
      <c r="C142" s="66"/>
      <c r="D142" s="67"/>
      <c r="E142" s="66"/>
      <c r="F142" s="112" t="s">
        <v>38</v>
      </c>
      <c r="G142" s="112"/>
      <c r="H142" s="112"/>
      <c r="I142" s="112"/>
    </row>
    <row r="143" spans="1:9" s="55" customFormat="1" ht="26.25">
      <c r="A143" s="66" t="s">
        <v>0</v>
      </c>
      <c r="B143" s="66" t="s">
        <v>1</v>
      </c>
      <c r="C143" s="67" t="s">
        <v>249</v>
      </c>
      <c r="D143" s="50" t="s">
        <v>52</v>
      </c>
      <c r="E143" s="66" t="s">
        <v>46</v>
      </c>
      <c r="F143" s="67" t="s">
        <v>39</v>
      </c>
      <c r="G143" s="66" t="s">
        <v>40</v>
      </c>
      <c r="H143" s="67" t="s">
        <v>41</v>
      </c>
      <c r="I143" s="66" t="s">
        <v>42</v>
      </c>
    </row>
    <row r="144" spans="1:10" ht="12.75">
      <c r="A144" s="28" t="s">
        <v>3</v>
      </c>
      <c r="B144" s="25" t="s">
        <v>134</v>
      </c>
      <c r="C144" s="68" t="s">
        <v>255</v>
      </c>
      <c r="D144" s="52">
        <v>6000</v>
      </c>
      <c r="E144" s="25">
        <v>1992</v>
      </c>
      <c r="F144" s="53" t="s">
        <v>45</v>
      </c>
      <c r="G144" s="28"/>
      <c r="H144" s="28"/>
      <c r="I144" s="25" t="s">
        <v>45</v>
      </c>
      <c r="J144" s="5" t="s">
        <v>305</v>
      </c>
    </row>
    <row r="145" spans="1:9" ht="12.75">
      <c r="A145" s="56" t="s">
        <v>135</v>
      </c>
      <c r="B145" s="57"/>
      <c r="C145" s="58"/>
      <c r="D145" s="58"/>
      <c r="E145" s="56"/>
      <c r="F145" s="58"/>
      <c r="G145" s="56"/>
      <c r="H145" s="59"/>
      <c r="I145" s="60"/>
    </row>
    <row r="146" spans="1:9" ht="12.75">
      <c r="A146" s="49"/>
      <c r="B146" s="49"/>
      <c r="C146" s="49"/>
      <c r="D146" s="50"/>
      <c r="E146" s="49"/>
      <c r="F146" s="113" t="s">
        <v>38</v>
      </c>
      <c r="G146" s="113"/>
      <c r="H146" s="113"/>
      <c r="I146" s="113"/>
    </row>
    <row r="147" spans="1:9" ht="26.25">
      <c r="A147" s="49" t="s">
        <v>0</v>
      </c>
      <c r="B147" s="49" t="s">
        <v>1</v>
      </c>
      <c r="C147" s="50" t="s">
        <v>249</v>
      </c>
      <c r="D147" s="50" t="s">
        <v>52</v>
      </c>
      <c r="E147" s="49" t="s">
        <v>46</v>
      </c>
      <c r="F147" s="50" t="s">
        <v>39</v>
      </c>
      <c r="G147" s="49" t="s">
        <v>40</v>
      </c>
      <c r="H147" s="50" t="s">
        <v>41</v>
      </c>
      <c r="I147" s="49" t="s">
        <v>42</v>
      </c>
    </row>
    <row r="148" spans="1:10" ht="12.75">
      <c r="A148" s="28" t="s">
        <v>3</v>
      </c>
      <c r="B148" s="25" t="s">
        <v>136</v>
      </c>
      <c r="C148" s="68" t="s">
        <v>255</v>
      </c>
      <c r="D148" s="52">
        <v>5842277.74</v>
      </c>
      <c r="E148" s="25">
        <v>1999</v>
      </c>
      <c r="F148" s="53" t="s">
        <v>281</v>
      </c>
      <c r="G148" s="28"/>
      <c r="H148" s="28" t="s">
        <v>282</v>
      </c>
      <c r="I148" s="25" t="s">
        <v>45</v>
      </c>
      <c r="J148" s="69" t="s">
        <v>305</v>
      </c>
    </row>
    <row r="149" spans="1:10" ht="12.75">
      <c r="A149" s="28" t="s">
        <v>4</v>
      </c>
      <c r="B149" s="25" t="s">
        <v>137</v>
      </c>
      <c r="C149" s="68" t="s">
        <v>255</v>
      </c>
      <c r="D149" s="52">
        <v>1260529.8</v>
      </c>
      <c r="E149" s="25">
        <v>2010</v>
      </c>
      <c r="F149" s="53"/>
      <c r="G149" s="28"/>
      <c r="H149" s="28"/>
      <c r="I149" s="25"/>
      <c r="J149" s="5" t="s">
        <v>307</v>
      </c>
    </row>
    <row r="150" spans="1:10" ht="12.75">
      <c r="A150" s="28" t="s">
        <v>5</v>
      </c>
      <c r="B150" s="25" t="s">
        <v>138</v>
      </c>
      <c r="C150" s="68" t="s">
        <v>255</v>
      </c>
      <c r="D150" s="52">
        <v>438010.43</v>
      </c>
      <c r="E150" s="25">
        <v>2009</v>
      </c>
      <c r="F150" s="53"/>
      <c r="G150" s="28"/>
      <c r="H150" s="28"/>
      <c r="I150" s="25"/>
      <c r="J150" s="5" t="s">
        <v>307</v>
      </c>
    </row>
    <row r="151" spans="1:10" ht="26.25">
      <c r="A151" s="28" t="s">
        <v>7</v>
      </c>
      <c r="B151" s="25" t="s">
        <v>139</v>
      </c>
      <c r="C151" s="68" t="s">
        <v>255</v>
      </c>
      <c r="D151" s="52">
        <v>1515126.5</v>
      </c>
      <c r="E151" s="25">
        <v>2010</v>
      </c>
      <c r="F151" s="53"/>
      <c r="G151" s="28"/>
      <c r="H151" s="28"/>
      <c r="I151" s="25"/>
      <c r="J151" s="5" t="s">
        <v>307</v>
      </c>
    </row>
    <row r="152" spans="1:10" ht="26.25">
      <c r="A152" s="28" t="s">
        <v>8</v>
      </c>
      <c r="B152" s="25" t="s">
        <v>140</v>
      </c>
      <c r="C152" s="68" t="s">
        <v>255</v>
      </c>
      <c r="D152" s="52">
        <v>1101464.36</v>
      </c>
      <c r="E152" s="25">
        <v>2011</v>
      </c>
      <c r="F152" s="53"/>
      <c r="G152" s="28"/>
      <c r="H152" s="28"/>
      <c r="I152" s="25"/>
      <c r="J152" s="5" t="s">
        <v>307</v>
      </c>
    </row>
    <row r="153" spans="1:10" ht="26.25">
      <c r="A153" s="28" t="s">
        <v>9</v>
      </c>
      <c r="B153" s="25" t="s">
        <v>283</v>
      </c>
      <c r="C153" s="68" t="s">
        <v>255</v>
      </c>
      <c r="D153" s="52">
        <v>1238680.93</v>
      </c>
      <c r="E153" s="25">
        <v>2012</v>
      </c>
      <c r="F153" s="53"/>
      <c r="G153" s="28"/>
      <c r="H153" s="28"/>
      <c r="I153" s="25"/>
      <c r="J153" s="5" t="s">
        <v>307</v>
      </c>
    </row>
    <row r="154" spans="1:10" ht="12.75">
      <c r="A154" s="28" t="s">
        <v>11</v>
      </c>
      <c r="B154" s="25" t="s">
        <v>284</v>
      </c>
      <c r="C154" s="68" t="s">
        <v>255</v>
      </c>
      <c r="D154" s="52">
        <v>50309.62</v>
      </c>
      <c r="E154" s="25">
        <v>2014</v>
      </c>
      <c r="F154" s="53"/>
      <c r="G154" s="28"/>
      <c r="H154" s="28"/>
      <c r="I154" s="25"/>
      <c r="J154" s="5" t="s">
        <v>307</v>
      </c>
    </row>
    <row r="155" spans="1:10" ht="26.25">
      <c r="A155" s="28" t="s">
        <v>12</v>
      </c>
      <c r="B155" s="25" t="s">
        <v>285</v>
      </c>
      <c r="C155" s="68" t="s">
        <v>255</v>
      </c>
      <c r="D155" s="52">
        <v>48781.8</v>
      </c>
      <c r="E155" s="25">
        <v>2019</v>
      </c>
      <c r="F155" s="53"/>
      <c r="G155" s="28"/>
      <c r="H155" s="28"/>
      <c r="I155" s="25"/>
      <c r="J155" s="5" t="s">
        <v>307</v>
      </c>
    </row>
    <row r="156" spans="1:10" ht="26.25">
      <c r="A156" s="28" t="s">
        <v>13</v>
      </c>
      <c r="B156" s="25" t="s">
        <v>142</v>
      </c>
      <c r="C156" s="68" t="s">
        <v>255</v>
      </c>
      <c r="D156" s="52">
        <f>10536.83+15799+60272.88+6344</f>
        <v>92952.70999999999</v>
      </c>
      <c r="E156" s="28"/>
      <c r="F156" s="53"/>
      <c r="G156" s="28"/>
      <c r="H156" s="28"/>
      <c r="I156" s="25"/>
      <c r="J156" s="5" t="s">
        <v>308</v>
      </c>
    </row>
    <row r="157" spans="1:10" ht="12.75">
      <c r="A157" s="28" t="s">
        <v>14</v>
      </c>
      <c r="B157" s="25" t="s">
        <v>120</v>
      </c>
      <c r="C157" s="68" t="s">
        <v>255</v>
      </c>
      <c r="D157" s="52">
        <v>12300</v>
      </c>
      <c r="E157" s="28"/>
      <c r="F157" s="53"/>
      <c r="G157" s="28"/>
      <c r="H157" s="28"/>
      <c r="I157" s="25"/>
      <c r="J157" s="5" t="s">
        <v>308</v>
      </c>
    </row>
    <row r="158" spans="1:10" ht="12.75">
      <c r="A158" s="28" t="s">
        <v>15</v>
      </c>
      <c r="B158" s="25" t="s">
        <v>143</v>
      </c>
      <c r="C158" s="68" t="s">
        <v>255</v>
      </c>
      <c r="D158" s="52">
        <v>19800</v>
      </c>
      <c r="E158" s="25"/>
      <c r="F158" s="53"/>
      <c r="G158" s="28"/>
      <c r="H158" s="28"/>
      <c r="I158" s="25"/>
      <c r="J158" s="5" t="s">
        <v>308</v>
      </c>
    </row>
    <row r="159" spans="1:9" ht="12.75">
      <c r="A159" s="56" t="s">
        <v>146</v>
      </c>
      <c r="B159" s="57"/>
      <c r="C159" s="58"/>
      <c r="D159" s="58"/>
      <c r="E159" s="56"/>
      <c r="F159" s="58"/>
      <c r="G159" s="56"/>
      <c r="H159" s="59"/>
      <c r="I159" s="60"/>
    </row>
    <row r="160" spans="1:9" ht="12.75">
      <c r="A160" s="49"/>
      <c r="B160" s="49"/>
      <c r="C160" s="49"/>
      <c r="D160" s="50"/>
      <c r="E160" s="49"/>
      <c r="F160" s="113" t="s">
        <v>38</v>
      </c>
      <c r="G160" s="113"/>
      <c r="H160" s="113"/>
      <c r="I160" s="113"/>
    </row>
    <row r="161" spans="1:9" ht="26.25">
      <c r="A161" s="49" t="s">
        <v>0</v>
      </c>
      <c r="B161" s="49" t="s">
        <v>1</v>
      </c>
      <c r="C161" s="50" t="s">
        <v>249</v>
      </c>
      <c r="D161" s="50" t="s">
        <v>52</v>
      </c>
      <c r="E161" s="49" t="s">
        <v>46</v>
      </c>
      <c r="F161" s="50" t="s">
        <v>39</v>
      </c>
      <c r="G161" s="49" t="s">
        <v>40</v>
      </c>
      <c r="H161" s="50" t="s">
        <v>41</v>
      </c>
      <c r="I161" s="49" t="s">
        <v>42</v>
      </c>
    </row>
    <row r="162" spans="1:10" ht="12.75">
      <c r="A162" s="28" t="s">
        <v>3</v>
      </c>
      <c r="B162" s="25" t="s">
        <v>147</v>
      </c>
      <c r="C162" s="68" t="s">
        <v>255</v>
      </c>
      <c r="D162" s="52">
        <v>849330.74</v>
      </c>
      <c r="E162" s="25"/>
      <c r="F162" s="53"/>
      <c r="G162" s="28"/>
      <c r="H162" s="28"/>
      <c r="I162" s="25"/>
      <c r="J162" s="5" t="s">
        <v>305</v>
      </c>
    </row>
    <row r="163" spans="1:10" ht="12.75">
      <c r="A163" s="28" t="s">
        <v>4</v>
      </c>
      <c r="B163" s="25" t="s">
        <v>148</v>
      </c>
      <c r="C163" s="68" t="s">
        <v>255</v>
      </c>
      <c r="D163" s="52">
        <v>61443.41</v>
      </c>
      <c r="E163" s="25"/>
      <c r="F163" s="53"/>
      <c r="G163" s="28"/>
      <c r="H163" s="28"/>
      <c r="I163" s="25"/>
      <c r="J163" s="5" t="s">
        <v>307</v>
      </c>
    </row>
    <row r="164" spans="1:10" ht="12.75">
      <c r="A164" s="28" t="s">
        <v>5</v>
      </c>
      <c r="B164" s="25" t="s">
        <v>149</v>
      </c>
      <c r="C164" s="68" t="s">
        <v>255</v>
      </c>
      <c r="D164" s="52">
        <v>61920.03</v>
      </c>
      <c r="E164" s="25"/>
      <c r="F164" s="53"/>
      <c r="G164" s="28"/>
      <c r="H164" s="28"/>
      <c r="I164" s="25"/>
      <c r="J164" s="5" t="s">
        <v>307</v>
      </c>
    </row>
    <row r="165" spans="1:10" ht="12.75">
      <c r="A165" s="28" t="s">
        <v>7</v>
      </c>
      <c r="B165" s="25" t="s">
        <v>150</v>
      </c>
      <c r="C165" s="68" t="s">
        <v>255</v>
      </c>
      <c r="D165" s="52">
        <v>35390.74</v>
      </c>
      <c r="E165" s="25"/>
      <c r="F165" s="53"/>
      <c r="G165" s="28"/>
      <c r="H165" s="28"/>
      <c r="I165" s="25"/>
      <c r="J165" s="5" t="s">
        <v>307</v>
      </c>
    </row>
    <row r="166" spans="1:10" ht="12.75">
      <c r="A166" s="28" t="s">
        <v>8</v>
      </c>
      <c r="B166" s="25" t="s">
        <v>151</v>
      </c>
      <c r="C166" s="68" t="s">
        <v>255</v>
      </c>
      <c r="D166" s="52">
        <v>7985.78</v>
      </c>
      <c r="E166" s="25"/>
      <c r="F166" s="53"/>
      <c r="G166" s="28"/>
      <c r="H166" s="28"/>
      <c r="I166" s="25"/>
      <c r="J166" s="5" t="s">
        <v>307</v>
      </c>
    </row>
    <row r="167" spans="1:10" ht="12.75">
      <c r="A167" s="28" t="s">
        <v>9</v>
      </c>
      <c r="B167" s="25" t="s">
        <v>152</v>
      </c>
      <c r="C167" s="68" t="s">
        <v>255</v>
      </c>
      <c r="D167" s="52">
        <v>18956.53</v>
      </c>
      <c r="E167" s="25"/>
      <c r="F167" s="53"/>
      <c r="G167" s="28"/>
      <c r="H167" s="28"/>
      <c r="I167" s="25"/>
      <c r="J167" s="5" t="s">
        <v>307</v>
      </c>
    </row>
    <row r="168" spans="1:10" ht="26.25">
      <c r="A168" s="28" t="s">
        <v>11</v>
      </c>
      <c r="B168" s="25" t="s">
        <v>286</v>
      </c>
      <c r="C168" s="68" t="s">
        <v>255</v>
      </c>
      <c r="D168" s="70">
        <f>8234+7700+7200+4000+4000+3840+4370+6000+5800+23962.1+8955.07+223589.84</f>
        <v>307651.01</v>
      </c>
      <c r="E168" s="28"/>
      <c r="F168" s="53"/>
      <c r="G168" s="28"/>
      <c r="H168" s="28"/>
      <c r="I168" s="25"/>
      <c r="J168" s="5" t="s">
        <v>308</v>
      </c>
    </row>
    <row r="169" spans="1:9" ht="12.75">
      <c r="A169" s="56" t="s">
        <v>153</v>
      </c>
      <c r="B169" s="57"/>
      <c r="C169" s="58"/>
      <c r="D169" s="58"/>
      <c r="E169" s="56"/>
      <c r="F169" s="58"/>
      <c r="G169" s="56"/>
      <c r="H169" s="59"/>
      <c r="I169" s="60"/>
    </row>
    <row r="170" spans="1:9" ht="12.75">
      <c r="A170" s="49"/>
      <c r="B170" s="49"/>
      <c r="C170" s="49"/>
      <c r="D170" s="50"/>
      <c r="E170" s="49"/>
      <c r="F170" s="113" t="s">
        <v>38</v>
      </c>
      <c r="G170" s="113"/>
      <c r="H170" s="113"/>
      <c r="I170" s="113"/>
    </row>
    <row r="171" spans="1:9" ht="26.25">
      <c r="A171" s="49" t="s">
        <v>0</v>
      </c>
      <c r="B171" s="49" t="s">
        <v>1</v>
      </c>
      <c r="C171" s="50" t="s">
        <v>249</v>
      </c>
      <c r="D171" s="50" t="s">
        <v>52</v>
      </c>
      <c r="E171" s="49" t="s">
        <v>46</v>
      </c>
      <c r="F171" s="50" t="s">
        <v>39</v>
      </c>
      <c r="G171" s="49" t="s">
        <v>40</v>
      </c>
      <c r="H171" s="50" t="s">
        <v>41</v>
      </c>
      <c r="I171" s="49" t="s">
        <v>42</v>
      </c>
    </row>
    <row r="172" spans="1:10" ht="39">
      <c r="A172" s="28" t="s">
        <v>3</v>
      </c>
      <c r="B172" s="25" t="s">
        <v>291</v>
      </c>
      <c r="C172" s="68" t="s">
        <v>250</v>
      </c>
      <c r="D172" s="52">
        <f>625*3000</f>
        <v>1875000</v>
      </c>
      <c r="E172" s="25">
        <v>1976</v>
      </c>
      <c r="F172" s="53" t="s">
        <v>154</v>
      </c>
      <c r="G172" s="28" t="s">
        <v>61</v>
      </c>
      <c r="H172" s="28"/>
      <c r="I172" s="25" t="s">
        <v>155</v>
      </c>
      <c r="J172" s="5" t="s">
        <v>305</v>
      </c>
    </row>
    <row r="173" spans="1:10" ht="39">
      <c r="A173" s="28" t="s">
        <v>4</v>
      </c>
      <c r="B173" s="25" t="s">
        <v>292</v>
      </c>
      <c r="C173" s="68" t="s">
        <v>250</v>
      </c>
      <c r="D173" s="52">
        <f>1037*3000</f>
        <v>3111000</v>
      </c>
      <c r="E173" s="25">
        <v>1989</v>
      </c>
      <c r="F173" s="53" t="s">
        <v>154</v>
      </c>
      <c r="G173" s="28" t="s">
        <v>61</v>
      </c>
      <c r="H173" s="28"/>
      <c r="I173" s="25" t="s">
        <v>155</v>
      </c>
      <c r="J173" s="5" t="s">
        <v>305</v>
      </c>
    </row>
    <row r="174" spans="1:10" ht="12.75">
      <c r="A174" s="28" t="s">
        <v>5</v>
      </c>
      <c r="B174" s="25" t="s">
        <v>156</v>
      </c>
      <c r="C174" s="68" t="s">
        <v>255</v>
      </c>
      <c r="D174" s="52">
        <f>86681.49</f>
        <v>86681.49</v>
      </c>
      <c r="E174" s="25"/>
      <c r="F174" s="53"/>
      <c r="G174" s="28"/>
      <c r="H174" s="28"/>
      <c r="I174" s="25"/>
      <c r="J174" s="5" t="s">
        <v>308</v>
      </c>
    </row>
    <row r="175" spans="1:10" ht="12.75">
      <c r="A175" s="28" t="s">
        <v>7</v>
      </c>
      <c r="B175" s="25" t="s">
        <v>96</v>
      </c>
      <c r="C175" s="68" t="s">
        <v>255</v>
      </c>
      <c r="D175" s="52">
        <f>26261.4+13376.08</f>
        <v>39637.48</v>
      </c>
      <c r="E175" s="25"/>
      <c r="F175" s="53"/>
      <c r="G175" s="28"/>
      <c r="H175" s="28"/>
      <c r="I175" s="25"/>
      <c r="J175" s="5" t="s">
        <v>308</v>
      </c>
    </row>
    <row r="176" spans="1:9" ht="12.75">
      <c r="A176" s="56" t="s">
        <v>157</v>
      </c>
      <c r="B176" s="57"/>
      <c r="C176" s="58"/>
      <c r="D176" s="58"/>
      <c r="E176" s="56"/>
      <c r="F176" s="58"/>
      <c r="G176" s="56"/>
      <c r="H176" s="59"/>
      <c r="I176" s="60"/>
    </row>
    <row r="177" spans="1:9" ht="12.75">
      <c r="A177" s="49"/>
      <c r="B177" s="49"/>
      <c r="C177" s="49"/>
      <c r="D177" s="50"/>
      <c r="E177" s="49"/>
      <c r="F177" s="113" t="s">
        <v>38</v>
      </c>
      <c r="G177" s="113"/>
      <c r="H177" s="113"/>
      <c r="I177" s="113"/>
    </row>
    <row r="178" spans="1:9" ht="26.25">
      <c r="A178" s="49" t="s">
        <v>0</v>
      </c>
      <c r="B178" s="49" t="s">
        <v>1</v>
      </c>
      <c r="C178" s="50" t="s">
        <v>249</v>
      </c>
      <c r="D178" s="50" t="s">
        <v>52</v>
      </c>
      <c r="E178" s="49" t="s">
        <v>46</v>
      </c>
      <c r="F178" s="50" t="s">
        <v>39</v>
      </c>
      <c r="G178" s="49" t="s">
        <v>40</v>
      </c>
      <c r="H178" s="50" t="s">
        <v>41</v>
      </c>
      <c r="I178" s="49" t="s">
        <v>42</v>
      </c>
    </row>
    <row r="179" spans="1:10" ht="26.25">
      <c r="A179" s="28" t="s">
        <v>3</v>
      </c>
      <c r="B179" s="25" t="s">
        <v>158</v>
      </c>
      <c r="C179" s="68" t="s">
        <v>250</v>
      </c>
      <c r="D179" s="52">
        <f>1335*3000</f>
        <v>4005000</v>
      </c>
      <c r="E179" s="25">
        <v>1928</v>
      </c>
      <c r="F179" s="53" t="s">
        <v>43</v>
      </c>
      <c r="G179" s="28" t="s">
        <v>63</v>
      </c>
      <c r="H179" s="28"/>
      <c r="I179" s="25" t="s">
        <v>81</v>
      </c>
      <c r="J179" s="5" t="s">
        <v>305</v>
      </c>
    </row>
    <row r="180" spans="1:10" ht="12.75">
      <c r="A180" s="28" t="s">
        <v>4</v>
      </c>
      <c r="B180" s="25" t="s">
        <v>141</v>
      </c>
      <c r="C180" s="68" t="s">
        <v>255</v>
      </c>
      <c r="D180" s="52">
        <f>13010.9</f>
        <v>13010.9</v>
      </c>
      <c r="E180" s="25"/>
      <c r="F180" s="53"/>
      <c r="G180" s="28"/>
      <c r="H180" s="28"/>
      <c r="I180" s="25"/>
      <c r="J180" s="5" t="s">
        <v>307</v>
      </c>
    </row>
    <row r="181" spans="1:9" ht="12.75">
      <c r="A181" s="56" t="s">
        <v>162</v>
      </c>
      <c r="B181" s="57"/>
      <c r="C181" s="58"/>
      <c r="D181" s="58"/>
      <c r="E181" s="56"/>
      <c r="F181" s="58"/>
      <c r="G181" s="56"/>
      <c r="H181" s="59"/>
      <c r="I181" s="60"/>
    </row>
    <row r="182" spans="1:9" ht="12.75">
      <c r="A182" s="49"/>
      <c r="B182" s="49"/>
      <c r="C182" s="49"/>
      <c r="D182" s="50"/>
      <c r="E182" s="49"/>
      <c r="F182" s="113" t="s">
        <v>38</v>
      </c>
      <c r="G182" s="113"/>
      <c r="H182" s="113"/>
      <c r="I182" s="113"/>
    </row>
    <row r="183" spans="1:9" ht="26.25">
      <c r="A183" s="49" t="s">
        <v>0</v>
      </c>
      <c r="B183" s="49" t="s">
        <v>1</v>
      </c>
      <c r="C183" s="50" t="s">
        <v>249</v>
      </c>
      <c r="D183" s="50" t="s">
        <v>52</v>
      </c>
      <c r="E183" s="49" t="s">
        <v>46</v>
      </c>
      <c r="F183" s="50" t="s">
        <v>39</v>
      </c>
      <c r="G183" s="49" t="s">
        <v>40</v>
      </c>
      <c r="H183" s="50" t="s">
        <v>41</v>
      </c>
      <c r="I183" s="49" t="s">
        <v>42</v>
      </c>
    </row>
    <row r="184" spans="1:10" s="55" customFormat="1" ht="12.75">
      <c r="A184" s="30" t="s">
        <v>3</v>
      </c>
      <c r="B184" s="30" t="s">
        <v>294</v>
      </c>
      <c r="C184" s="61" t="s">
        <v>250</v>
      </c>
      <c r="D184" s="71">
        <f>3130*3000</f>
        <v>9390000</v>
      </c>
      <c r="E184" s="30">
        <v>1968</v>
      </c>
      <c r="F184" s="71" t="s">
        <v>154</v>
      </c>
      <c r="G184" s="30" t="s">
        <v>64</v>
      </c>
      <c r="H184" s="71"/>
      <c r="I184" s="30" t="s">
        <v>51</v>
      </c>
      <c r="J184" s="55" t="s">
        <v>305</v>
      </c>
    </row>
    <row r="185" spans="1:10" s="55" customFormat="1" ht="12.75">
      <c r="A185" s="30" t="s">
        <v>4</v>
      </c>
      <c r="B185" s="30" t="s">
        <v>295</v>
      </c>
      <c r="C185" s="61" t="s">
        <v>250</v>
      </c>
      <c r="D185" s="71">
        <f>8128.5*3000</f>
        <v>24385500</v>
      </c>
      <c r="E185" s="30">
        <v>1984</v>
      </c>
      <c r="F185" s="71" t="s">
        <v>154</v>
      </c>
      <c r="G185" s="30" t="s">
        <v>64</v>
      </c>
      <c r="H185" s="71"/>
      <c r="I185" s="30" t="s">
        <v>51</v>
      </c>
      <c r="J185" s="55" t="s">
        <v>305</v>
      </c>
    </row>
    <row r="186" spans="1:10" s="55" customFormat="1" ht="26.25">
      <c r="A186" s="30" t="s">
        <v>5</v>
      </c>
      <c r="B186" s="30" t="s">
        <v>297</v>
      </c>
      <c r="C186" s="61" t="s">
        <v>250</v>
      </c>
      <c r="D186" s="71">
        <f>60*1000</f>
        <v>60000</v>
      </c>
      <c r="E186" s="30">
        <v>1979</v>
      </c>
      <c r="F186" s="71" t="s">
        <v>154</v>
      </c>
      <c r="G186" s="30" t="s">
        <v>64</v>
      </c>
      <c r="H186" s="71"/>
      <c r="I186" s="30" t="s">
        <v>51</v>
      </c>
      <c r="J186" s="55" t="s">
        <v>305</v>
      </c>
    </row>
    <row r="187" spans="1:10" s="55" customFormat="1" ht="26.25">
      <c r="A187" s="30" t="s">
        <v>7</v>
      </c>
      <c r="B187" s="30" t="s">
        <v>296</v>
      </c>
      <c r="C187" s="61" t="s">
        <v>250</v>
      </c>
      <c r="D187" s="71">
        <f>60*1000</f>
        <v>60000</v>
      </c>
      <c r="E187" s="30">
        <v>1979</v>
      </c>
      <c r="F187" s="71" t="s">
        <v>154</v>
      </c>
      <c r="G187" s="30" t="s">
        <v>64</v>
      </c>
      <c r="H187" s="71"/>
      <c r="I187" s="30" t="s">
        <v>51</v>
      </c>
      <c r="J187" s="55" t="s">
        <v>305</v>
      </c>
    </row>
    <row r="188" spans="1:10" s="55" customFormat="1" ht="26.25">
      <c r="A188" s="30" t="s">
        <v>8</v>
      </c>
      <c r="B188" s="30" t="s">
        <v>298</v>
      </c>
      <c r="C188" s="61" t="s">
        <v>255</v>
      </c>
      <c r="D188" s="71">
        <v>14290</v>
      </c>
      <c r="E188" s="30"/>
      <c r="F188" s="71"/>
      <c r="G188" s="30"/>
      <c r="H188" s="71"/>
      <c r="I188" s="30"/>
      <c r="J188" s="55" t="s">
        <v>307</v>
      </c>
    </row>
    <row r="189" spans="1:10" s="55" customFormat="1" ht="26.25">
      <c r="A189" s="30" t="s">
        <v>9</v>
      </c>
      <c r="B189" s="30" t="s">
        <v>299</v>
      </c>
      <c r="C189" s="61" t="s">
        <v>255</v>
      </c>
      <c r="D189" s="71">
        <v>30610</v>
      </c>
      <c r="E189" s="30"/>
      <c r="F189" s="71"/>
      <c r="G189" s="30"/>
      <c r="H189" s="71"/>
      <c r="I189" s="30"/>
      <c r="J189" s="55" t="s">
        <v>307</v>
      </c>
    </row>
    <row r="190" spans="1:10" s="55" customFormat="1" ht="12.75">
      <c r="A190" s="30" t="s">
        <v>11</v>
      </c>
      <c r="B190" s="30" t="s">
        <v>161</v>
      </c>
      <c r="C190" s="61" t="s">
        <v>255</v>
      </c>
      <c r="D190" s="71">
        <v>4199</v>
      </c>
      <c r="E190" s="30"/>
      <c r="F190" s="71"/>
      <c r="G190" s="30"/>
      <c r="H190" s="71"/>
      <c r="I190" s="30"/>
      <c r="J190" s="55" t="s">
        <v>307</v>
      </c>
    </row>
    <row r="191" spans="1:10" s="55" customFormat="1" ht="12.75">
      <c r="A191" s="30" t="s">
        <v>12</v>
      </c>
      <c r="B191" s="30" t="s">
        <v>141</v>
      </c>
      <c r="C191" s="61" t="s">
        <v>255</v>
      </c>
      <c r="D191" s="71">
        <v>5199</v>
      </c>
      <c r="E191" s="30"/>
      <c r="F191" s="71"/>
      <c r="G191" s="30"/>
      <c r="H191" s="71"/>
      <c r="I191" s="30"/>
      <c r="J191" s="55" t="s">
        <v>307</v>
      </c>
    </row>
    <row r="192" spans="1:10" s="55" customFormat="1" ht="12.75">
      <c r="A192" s="30" t="s">
        <v>13</v>
      </c>
      <c r="B192" s="30" t="s">
        <v>160</v>
      </c>
      <c r="C192" s="61" t="s">
        <v>255</v>
      </c>
      <c r="D192" s="71">
        <f>68170.8+407885.24+29080-4199-5199</f>
        <v>495738.04</v>
      </c>
      <c r="E192" s="30"/>
      <c r="F192" s="71"/>
      <c r="G192" s="30"/>
      <c r="H192" s="71"/>
      <c r="I192" s="30"/>
      <c r="J192" s="55" t="s">
        <v>308</v>
      </c>
    </row>
    <row r="193" spans="1:9" ht="12.75">
      <c r="A193" s="56" t="s">
        <v>301</v>
      </c>
      <c r="B193" s="57"/>
      <c r="C193" s="58"/>
      <c r="D193" s="58"/>
      <c r="E193" s="56"/>
      <c r="F193" s="58"/>
      <c r="G193" s="56"/>
      <c r="H193" s="59"/>
      <c r="I193" s="60"/>
    </row>
    <row r="194" spans="1:9" ht="12.75">
      <c r="A194" s="49"/>
      <c r="B194" s="49"/>
      <c r="C194" s="49"/>
      <c r="D194" s="50"/>
      <c r="E194" s="49"/>
      <c r="F194" s="113" t="s">
        <v>38</v>
      </c>
      <c r="G194" s="113"/>
      <c r="H194" s="113"/>
      <c r="I194" s="113"/>
    </row>
    <row r="195" spans="1:9" ht="26.25">
      <c r="A195" s="49" t="s">
        <v>0</v>
      </c>
      <c r="B195" s="49" t="s">
        <v>1</v>
      </c>
      <c r="C195" s="50" t="s">
        <v>249</v>
      </c>
      <c r="D195" s="50" t="s">
        <v>52</v>
      </c>
      <c r="E195" s="49" t="s">
        <v>46</v>
      </c>
      <c r="F195" s="50" t="s">
        <v>39</v>
      </c>
      <c r="G195" s="49" t="s">
        <v>40</v>
      </c>
      <c r="H195" s="50" t="s">
        <v>41</v>
      </c>
      <c r="I195" s="49" t="s">
        <v>42</v>
      </c>
    </row>
    <row r="196" spans="1:10" ht="12.75">
      <c r="A196" s="28" t="s">
        <v>3</v>
      </c>
      <c r="B196" s="25" t="s">
        <v>68</v>
      </c>
      <c r="C196" s="51" t="s">
        <v>250</v>
      </c>
      <c r="D196" s="53">
        <f>800*3000</f>
        <v>2400000</v>
      </c>
      <c r="E196" s="28">
        <v>1965</v>
      </c>
      <c r="F196" s="53" t="s">
        <v>53</v>
      </c>
      <c r="G196" s="28" t="s">
        <v>64</v>
      </c>
      <c r="H196" s="28"/>
      <c r="I196" s="25" t="s">
        <v>51</v>
      </c>
      <c r="J196" s="5" t="s">
        <v>305</v>
      </c>
    </row>
    <row r="197" spans="1:10" ht="26.25">
      <c r="A197" s="28" t="s">
        <v>4</v>
      </c>
      <c r="B197" s="25" t="s">
        <v>163</v>
      </c>
      <c r="C197" s="51" t="s">
        <v>250</v>
      </c>
      <c r="D197" s="53">
        <f>136*3000</f>
        <v>408000</v>
      </c>
      <c r="E197" s="28">
        <v>1962</v>
      </c>
      <c r="F197" s="53" t="s">
        <v>53</v>
      </c>
      <c r="G197" s="28" t="s">
        <v>64</v>
      </c>
      <c r="H197" s="28"/>
      <c r="I197" s="25" t="s">
        <v>81</v>
      </c>
      <c r="J197" s="5" t="s">
        <v>305</v>
      </c>
    </row>
    <row r="198" spans="1:10" ht="12.75">
      <c r="A198" s="28" t="s">
        <v>5</v>
      </c>
      <c r="B198" s="25" t="s">
        <v>159</v>
      </c>
      <c r="C198" s="51" t="s">
        <v>255</v>
      </c>
      <c r="D198" s="53">
        <v>6470</v>
      </c>
      <c r="E198" s="28"/>
      <c r="F198" s="53"/>
      <c r="G198" s="28"/>
      <c r="H198" s="28"/>
      <c r="I198" s="25"/>
      <c r="J198" s="5" t="s">
        <v>307</v>
      </c>
    </row>
    <row r="199" spans="1:10" ht="12.75">
      <c r="A199" s="28" t="s">
        <v>7</v>
      </c>
      <c r="B199" s="25" t="s">
        <v>164</v>
      </c>
      <c r="C199" s="51" t="s">
        <v>255</v>
      </c>
      <c r="D199" s="53">
        <v>9211</v>
      </c>
      <c r="E199" s="28"/>
      <c r="F199" s="53"/>
      <c r="G199" s="28"/>
      <c r="H199" s="28"/>
      <c r="I199" s="25"/>
      <c r="J199" s="5" t="s">
        <v>307</v>
      </c>
    </row>
    <row r="200" spans="1:9" ht="12.75">
      <c r="A200" s="56" t="s">
        <v>302</v>
      </c>
      <c r="B200" s="57"/>
      <c r="C200" s="58"/>
      <c r="D200" s="58"/>
      <c r="E200" s="56"/>
      <c r="F200" s="58"/>
      <c r="G200" s="56"/>
      <c r="H200" s="59"/>
      <c r="I200" s="60"/>
    </row>
    <row r="201" spans="1:9" ht="12.75">
      <c r="A201" s="49"/>
      <c r="B201" s="49"/>
      <c r="C201" s="49"/>
      <c r="D201" s="50"/>
      <c r="E201" s="49"/>
      <c r="F201" s="113" t="s">
        <v>38</v>
      </c>
      <c r="G201" s="113"/>
      <c r="H201" s="113"/>
      <c r="I201" s="113"/>
    </row>
    <row r="202" spans="1:9" ht="26.25">
      <c r="A202" s="49" t="s">
        <v>0</v>
      </c>
      <c r="B202" s="49" t="s">
        <v>1</v>
      </c>
      <c r="C202" s="50" t="s">
        <v>249</v>
      </c>
      <c r="D202" s="50" t="s">
        <v>52</v>
      </c>
      <c r="E202" s="49" t="s">
        <v>46</v>
      </c>
      <c r="F202" s="50" t="s">
        <v>39</v>
      </c>
      <c r="G202" s="49" t="s">
        <v>40</v>
      </c>
      <c r="H202" s="50" t="s">
        <v>41</v>
      </c>
      <c r="I202" s="49" t="s">
        <v>42</v>
      </c>
    </row>
    <row r="203" spans="1:10" ht="12.75">
      <c r="A203" s="28" t="s">
        <v>3</v>
      </c>
      <c r="B203" s="25" t="s">
        <v>165</v>
      </c>
      <c r="C203" s="51" t="s">
        <v>250</v>
      </c>
      <c r="D203" s="53">
        <f>1100*3000</f>
        <v>3300000</v>
      </c>
      <c r="E203" s="28">
        <v>1964</v>
      </c>
      <c r="F203" s="53" t="s">
        <v>53</v>
      </c>
      <c r="G203" s="28" t="s">
        <v>64</v>
      </c>
      <c r="H203" s="28"/>
      <c r="I203" s="25" t="s">
        <v>51</v>
      </c>
      <c r="J203" s="5" t="s">
        <v>305</v>
      </c>
    </row>
    <row r="204" spans="1:10" ht="12.75">
      <c r="A204" s="28" t="s">
        <v>4</v>
      </c>
      <c r="B204" s="25" t="s">
        <v>166</v>
      </c>
      <c r="C204" s="51" t="s">
        <v>250</v>
      </c>
      <c r="D204" s="53">
        <f>70*1000</f>
        <v>70000</v>
      </c>
      <c r="E204" s="28"/>
      <c r="F204" s="53"/>
      <c r="G204" s="28"/>
      <c r="H204" s="28"/>
      <c r="I204" s="25"/>
      <c r="J204" s="5" t="s">
        <v>305</v>
      </c>
    </row>
    <row r="205" spans="1:10" ht="12.75">
      <c r="A205" s="28" t="s">
        <v>5</v>
      </c>
      <c r="B205" s="25" t="s">
        <v>293</v>
      </c>
      <c r="C205" s="51" t="s">
        <v>250</v>
      </c>
      <c r="D205" s="53">
        <v>9000</v>
      </c>
      <c r="E205" s="28"/>
      <c r="F205" s="53"/>
      <c r="G205" s="28"/>
      <c r="H205" s="28"/>
      <c r="I205" s="25"/>
      <c r="J205" s="5" t="s">
        <v>307</v>
      </c>
    </row>
    <row r="206" spans="1:10" ht="12.75">
      <c r="A206" s="28" t="s">
        <v>7</v>
      </c>
      <c r="B206" s="25" t="s">
        <v>167</v>
      </c>
      <c r="C206" s="51" t="s">
        <v>255</v>
      </c>
      <c r="D206" s="53">
        <v>7808</v>
      </c>
      <c r="E206" s="28"/>
      <c r="F206" s="53"/>
      <c r="G206" s="28"/>
      <c r="H206" s="28"/>
      <c r="I206" s="25"/>
      <c r="J206" s="5" t="s">
        <v>307</v>
      </c>
    </row>
    <row r="207" spans="1:10" ht="12.75">
      <c r="A207" s="28" t="s">
        <v>8</v>
      </c>
      <c r="B207" s="25" t="s">
        <v>2</v>
      </c>
      <c r="C207" s="51" t="s">
        <v>255</v>
      </c>
      <c r="D207" s="53">
        <v>48437.9</v>
      </c>
      <c r="E207" s="28"/>
      <c r="F207" s="53"/>
      <c r="G207" s="28"/>
      <c r="H207" s="28"/>
      <c r="I207" s="25"/>
      <c r="J207" s="5" t="s">
        <v>308</v>
      </c>
    </row>
    <row r="208" spans="1:9" ht="12.75">
      <c r="A208" s="56" t="s">
        <v>303</v>
      </c>
      <c r="B208" s="57"/>
      <c r="C208" s="58"/>
      <c r="D208" s="58"/>
      <c r="E208" s="56"/>
      <c r="F208" s="58"/>
      <c r="G208" s="56"/>
      <c r="H208" s="59"/>
      <c r="I208" s="60"/>
    </row>
    <row r="209" spans="1:9" ht="12.75">
      <c r="A209" s="49"/>
      <c r="B209" s="49"/>
      <c r="C209" s="49"/>
      <c r="D209" s="50"/>
      <c r="E209" s="49"/>
      <c r="F209" s="113" t="s">
        <v>38</v>
      </c>
      <c r="G209" s="113"/>
      <c r="H209" s="113"/>
      <c r="I209" s="113"/>
    </row>
    <row r="210" spans="1:9" ht="26.25">
      <c r="A210" s="49" t="s">
        <v>0</v>
      </c>
      <c r="B210" s="49" t="s">
        <v>1</v>
      </c>
      <c r="C210" s="50" t="s">
        <v>249</v>
      </c>
      <c r="D210" s="50" t="s">
        <v>52</v>
      </c>
      <c r="E210" s="49" t="s">
        <v>46</v>
      </c>
      <c r="F210" s="50" t="s">
        <v>39</v>
      </c>
      <c r="G210" s="49" t="s">
        <v>40</v>
      </c>
      <c r="H210" s="50" t="s">
        <v>41</v>
      </c>
      <c r="I210" s="49" t="s">
        <v>42</v>
      </c>
    </row>
    <row r="211" spans="1:10" ht="12.75">
      <c r="A211" s="28" t="s">
        <v>3</v>
      </c>
      <c r="B211" s="25" t="s">
        <v>158</v>
      </c>
      <c r="C211" s="51" t="s">
        <v>250</v>
      </c>
      <c r="D211" s="53">
        <f>1004*3000</f>
        <v>3012000</v>
      </c>
      <c r="E211" s="28">
        <v>1965</v>
      </c>
      <c r="F211" s="53" t="s">
        <v>53</v>
      </c>
      <c r="G211" s="28" t="s">
        <v>64</v>
      </c>
      <c r="H211" s="28"/>
      <c r="I211" s="25" t="s">
        <v>51</v>
      </c>
      <c r="J211" s="5" t="s">
        <v>305</v>
      </c>
    </row>
    <row r="212" spans="1:10" ht="12.75">
      <c r="A212" s="28" t="s">
        <v>4</v>
      </c>
      <c r="B212" s="25" t="s">
        <v>141</v>
      </c>
      <c r="C212" s="51" t="s">
        <v>255</v>
      </c>
      <c r="D212" s="53">
        <f>7808</f>
        <v>7808</v>
      </c>
      <c r="E212" s="28"/>
      <c r="F212" s="53"/>
      <c r="G212" s="28"/>
      <c r="H212" s="28"/>
      <c r="I212" s="25"/>
      <c r="J212" s="5" t="s">
        <v>307</v>
      </c>
    </row>
    <row r="213" spans="1:10" ht="12.75">
      <c r="A213" s="28" t="s">
        <v>5</v>
      </c>
      <c r="B213" s="25" t="s">
        <v>2</v>
      </c>
      <c r="C213" s="51" t="s">
        <v>255</v>
      </c>
      <c r="D213" s="53">
        <v>62000</v>
      </c>
      <c r="E213" s="28"/>
      <c r="F213" s="53"/>
      <c r="G213" s="28"/>
      <c r="H213" s="28"/>
      <c r="I213" s="25"/>
      <c r="J213" s="5" t="s">
        <v>308</v>
      </c>
    </row>
    <row r="214" spans="1:9" ht="12.75">
      <c r="A214" s="56" t="s">
        <v>304</v>
      </c>
      <c r="B214" s="57"/>
      <c r="C214" s="58"/>
      <c r="D214" s="58"/>
      <c r="E214" s="56"/>
      <c r="F214" s="58"/>
      <c r="G214" s="56"/>
      <c r="H214" s="59"/>
      <c r="I214" s="60"/>
    </row>
    <row r="215" spans="1:9" ht="12.75">
      <c r="A215" s="49"/>
      <c r="B215" s="49"/>
      <c r="C215" s="49"/>
      <c r="D215" s="50"/>
      <c r="E215" s="49"/>
      <c r="F215" s="113" t="s">
        <v>38</v>
      </c>
      <c r="G215" s="113"/>
      <c r="H215" s="113"/>
      <c r="I215" s="113"/>
    </row>
    <row r="216" spans="1:9" ht="26.25">
      <c r="A216" s="49" t="s">
        <v>0</v>
      </c>
      <c r="B216" s="49" t="s">
        <v>1</v>
      </c>
      <c r="C216" s="50" t="s">
        <v>249</v>
      </c>
      <c r="D216" s="50" t="s">
        <v>52</v>
      </c>
      <c r="E216" s="49" t="s">
        <v>46</v>
      </c>
      <c r="F216" s="50" t="s">
        <v>39</v>
      </c>
      <c r="G216" s="49" t="s">
        <v>40</v>
      </c>
      <c r="H216" s="50" t="s">
        <v>41</v>
      </c>
      <c r="I216" s="49" t="s">
        <v>42</v>
      </c>
    </row>
    <row r="217" spans="1:10" ht="12.75">
      <c r="A217" s="28" t="s">
        <v>3</v>
      </c>
      <c r="B217" s="25" t="s">
        <v>300</v>
      </c>
      <c r="C217" s="51" t="s">
        <v>255</v>
      </c>
      <c r="D217" s="53">
        <v>1157775.54</v>
      </c>
      <c r="E217" s="28">
        <v>1984</v>
      </c>
      <c r="F217" s="53" t="s">
        <v>53</v>
      </c>
      <c r="G217" s="28" t="s">
        <v>64</v>
      </c>
      <c r="H217" s="28"/>
      <c r="I217" s="25" t="s">
        <v>51</v>
      </c>
      <c r="J217" s="5" t="s">
        <v>305</v>
      </c>
    </row>
    <row r="218" spans="1:10" ht="12.75">
      <c r="A218" s="28" t="s">
        <v>4</v>
      </c>
      <c r="B218" s="25" t="s">
        <v>160</v>
      </c>
      <c r="C218" s="51" t="s">
        <v>255</v>
      </c>
      <c r="D218" s="53">
        <f>34617.12+47400.76</f>
        <v>82017.88</v>
      </c>
      <c r="E218" s="28"/>
      <c r="F218" s="53"/>
      <c r="G218" s="28"/>
      <c r="H218" s="28"/>
      <c r="I218" s="25"/>
      <c r="J218" s="5" t="s">
        <v>308</v>
      </c>
    </row>
    <row r="220" ht="12.75">
      <c r="E220" s="36"/>
    </row>
    <row r="221" ht="12.75">
      <c r="E221" s="36"/>
    </row>
    <row r="224" spans="2:3" ht="12.75">
      <c r="B224" s="72" t="s">
        <v>1</v>
      </c>
      <c r="C224" s="73" t="s">
        <v>52</v>
      </c>
    </row>
    <row r="225" spans="2:3" ht="12.75">
      <c r="B225" s="25" t="s">
        <v>312</v>
      </c>
      <c r="C225" s="53">
        <f>SUMIF($J$8:$J$218,"b",$D$8:$D$218)</f>
        <v>87066858.92</v>
      </c>
    </row>
    <row r="226" spans="2:3" ht="12.75">
      <c r="B226" s="25" t="s">
        <v>313</v>
      </c>
      <c r="C226" s="53">
        <f>SUMIF($J$8:$J$218,"bud",$D$8:$D$218)</f>
        <v>8588243.04</v>
      </c>
    </row>
    <row r="227" spans="2:3" ht="12.75">
      <c r="B227" s="25" t="s">
        <v>314</v>
      </c>
      <c r="C227" s="53">
        <f>SUMIF($J$8:$J$218,"l",$D$8:$D$218)</f>
        <v>14740350</v>
      </c>
    </row>
    <row r="228" spans="2:3" ht="39">
      <c r="B228" s="25" t="s">
        <v>445</v>
      </c>
      <c r="C228" s="53">
        <f>SUMIF($J$8:$J$218,"sol",$D$8:$D$218)</f>
        <v>31350.23</v>
      </c>
    </row>
    <row r="229" spans="2:3" ht="12.75">
      <c r="B229" s="25" t="s">
        <v>2</v>
      </c>
      <c r="C229" s="53">
        <f>SUMIF($J$8:$J$218,"w",$D$8:$D$218)</f>
        <v>3431702.6899999995</v>
      </c>
    </row>
    <row r="230" spans="2:3" ht="12.75">
      <c r="B230" s="25" t="s">
        <v>315</v>
      </c>
      <c r="C230" s="53">
        <f>SUM(C225:C229)</f>
        <v>113858504.88000001</v>
      </c>
    </row>
  </sheetData>
  <sheetProtection/>
  <mergeCells count="14">
    <mergeCell ref="F182:I182"/>
    <mergeCell ref="F201:I201"/>
    <mergeCell ref="F209:I209"/>
    <mergeCell ref="F215:I215"/>
    <mergeCell ref="F142:I142"/>
    <mergeCell ref="F6:I6"/>
    <mergeCell ref="F128:I128"/>
    <mergeCell ref="F138:I138"/>
    <mergeCell ref="F133:I133"/>
    <mergeCell ref="F194:I194"/>
    <mergeCell ref="F146:I146"/>
    <mergeCell ref="F160:I160"/>
    <mergeCell ref="F170:I170"/>
    <mergeCell ref="F177:I177"/>
  </mergeCells>
  <printOptions/>
  <pageMargins left="0.7874015748031497" right="0.7874015748031497" top="0.984251968503937" bottom="0.984251968503937" header="0.5118110236220472" footer="0.5118110236220472"/>
  <pageSetup fitToHeight="1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1">
      <selection activeCell="C1" sqref="C1:C16384"/>
    </sheetView>
  </sheetViews>
  <sheetFormatPr defaultColWidth="9.140625" defaultRowHeight="12.75"/>
  <cols>
    <col min="1" max="1" width="5.421875" style="55" customWidth="1"/>
    <col min="2" max="2" width="29.8515625" style="95" customWidth="1"/>
    <col min="3" max="3" width="26.140625" style="77" customWidth="1"/>
    <col min="4" max="4" width="24.140625" style="55" hidden="1" customWidth="1"/>
    <col min="5" max="5" width="14.421875" style="77" customWidth="1"/>
    <col min="6" max="6" width="12.140625" style="77" bestFit="1" customWidth="1"/>
    <col min="7" max="16384" width="9.140625" style="55" customWidth="1"/>
  </cols>
  <sheetData>
    <row r="1" spans="1:3" ht="12.75">
      <c r="A1" s="74" t="s">
        <v>242</v>
      </c>
      <c r="B1" s="75"/>
      <c r="C1" s="76"/>
    </row>
    <row r="2" spans="1:3" ht="12" customHeight="1">
      <c r="A2" s="78"/>
      <c r="B2" s="79"/>
      <c r="C2" s="80"/>
    </row>
    <row r="3" spans="1:3" ht="12" customHeight="1">
      <c r="A3" s="81" t="s">
        <v>243</v>
      </c>
      <c r="B3" s="81"/>
      <c r="C3" s="82"/>
    </row>
    <row r="4" spans="1:3" ht="12.75">
      <c r="A4" s="83" t="s">
        <v>71</v>
      </c>
      <c r="B4" s="83"/>
      <c r="C4" s="84"/>
    </row>
    <row r="5" spans="1:3" ht="12.75">
      <c r="A5" s="85" t="s">
        <v>0</v>
      </c>
      <c r="B5" s="85" t="s">
        <v>1</v>
      </c>
      <c r="C5" s="86" t="s">
        <v>52</v>
      </c>
    </row>
    <row r="6" spans="1:4" ht="12.75">
      <c r="A6" s="32" t="s">
        <v>3</v>
      </c>
      <c r="B6" s="87" t="s">
        <v>117</v>
      </c>
      <c r="C6" s="14">
        <f>3408+2996.68+3179.2+43759.21+14026.35+7879+5938.74+5938.75*4+19599.91+6189.99+6000*8+8000+14980+5282.6+4647+14900</f>
        <v>226541.68000000002</v>
      </c>
      <c r="D6" s="55" t="s">
        <v>311</v>
      </c>
    </row>
    <row r="7" spans="1:4" ht="12.75">
      <c r="A7" s="32" t="s">
        <v>4</v>
      </c>
      <c r="B7" s="87" t="s">
        <v>118</v>
      </c>
      <c r="C7" s="14">
        <f>3500+5499.99</f>
        <v>8999.99</v>
      </c>
      <c r="D7" s="55" t="s">
        <v>310</v>
      </c>
    </row>
    <row r="8" spans="1:4" ht="12.75">
      <c r="A8" s="32" t="s">
        <v>5</v>
      </c>
      <c r="B8" s="87" t="s">
        <v>119</v>
      </c>
      <c r="C8" s="14">
        <f>5904.8</f>
        <v>5904.8</v>
      </c>
      <c r="D8" s="55" t="s">
        <v>311</v>
      </c>
    </row>
    <row r="9" spans="1:4" ht="12.75">
      <c r="A9" s="88" t="s">
        <v>122</v>
      </c>
      <c r="B9" s="88"/>
      <c r="C9" s="89"/>
      <c r="D9" s="90"/>
    </row>
    <row r="10" spans="1:3" ht="12.75">
      <c r="A10" s="85" t="s">
        <v>0</v>
      </c>
      <c r="B10" s="85" t="s">
        <v>1</v>
      </c>
      <c r="C10" s="86" t="s">
        <v>52</v>
      </c>
    </row>
    <row r="11" spans="1:4" ht="12.75">
      <c r="A11" s="32" t="s">
        <v>3</v>
      </c>
      <c r="B11" s="87" t="s">
        <v>10</v>
      </c>
      <c r="C11" s="96">
        <f>26572.4+2749+2229.7+2154.85+1188.53+2449+9800</f>
        <v>47143.48</v>
      </c>
      <c r="D11" s="55" t="s">
        <v>311</v>
      </c>
    </row>
    <row r="12" spans="1:4" ht="12.75">
      <c r="A12" s="32" t="s">
        <v>4</v>
      </c>
      <c r="B12" s="87" t="s">
        <v>37</v>
      </c>
      <c r="C12" s="96">
        <f>1963.02</f>
        <v>1963.02</v>
      </c>
      <c r="D12" s="55" t="s">
        <v>311</v>
      </c>
    </row>
    <row r="13" spans="1:4" ht="12.75">
      <c r="A13" s="32" t="s">
        <v>5</v>
      </c>
      <c r="B13" s="87" t="s">
        <v>67</v>
      </c>
      <c r="C13" s="96">
        <f>1577.2+8478.41+2911.37+2600+2682.11</f>
        <v>18249.09</v>
      </c>
      <c r="D13" s="55" t="s">
        <v>310</v>
      </c>
    </row>
    <row r="14" spans="1:4" ht="12.75">
      <c r="A14" s="32" t="s">
        <v>7</v>
      </c>
      <c r="B14" s="87" t="s">
        <v>129</v>
      </c>
      <c r="C14" s="96">
        <f>39597.88+2072.36</f>
        <v>41670.24</v>
      </c>
      <c r="D14" s="55" t="s">
        <v>311</v>
      </c>
    </row>
    <row r="15" spans="1:4" ht="12.75">
      <c r="A15" s="32" t="s">
        <v>8</v>
      </c>
      <c r="B15" s="87" t="s">
        <v>121</v>
      </c>
      <c r="C15" s="96">
        <f>5000+5545.33</f>
        <v>10545.33</v>
      </c>
      <c r="D15" s="55" t="s">
        <v>311</v>
      </c>
    </row>
    <row r="16" spans="1:4" ht="12.75">
      <c r="A16" s="32" t="s">
        <v>9</v>
      </c>
      <c r="B16" s="87" t="s">
        <v>119</v>
      </c>
      <c r="C16" s="96">
        <f>995+1750+413.44+3661.4</f>
        <v>6819.84</v>
      </c>
      <c r="D16" s="55" t="s">
        <v>311</v>
      </c>
    </row>
    <row r="17" spans="1:3" ht="12.75">
      <c r="A17" s="88" t="s">
        <v>130</v>
      </c>
      <c r="B17" s="88"/>
      <c r="C17" s="89"/>
    </row>
    <row r="18" spans="1:3" ht="12.75">
      <c r="A18" s="85" t="s">
        <v>0</v>
      </c>
      <c r="B18" s="85" t="s">
        <v>1</v>
      </c>
      <c r="C18" s="86" t="s">
        <v>52</v>
      </c>
    </row>
    <row r="19" spans="1:4" ht="12.75">
      <c r="A19" s="32" t="s">
        <v>3</v>
      </c>
      <c r="B19" s="87" t="s">
        <v>10</v>
      </c>
      <c r="C19" s="92">
        <f>2649.89+549+420+2162+3501*10+228+299+200+319+319</f>
        <v>42155.89</v>
      </c>
      <c r="D19" s="55" t="s">
        <v>311</v>
      </c>
    </row>
    <row r="20" spans="1:4" ht="12.75">
      <c r="A20" s="32" t="s">
        <v>4</v>
      </c>
      <c r="B20" s="87" t="s">
        <v>119</v>
      </c>
      <c r="C20" s="14">
        <v>732</v>
      </c>
      <c r="D20" s="55" t="s">
        <v>311</v>
      </c>
    </row>
    <row r="21" spans="1:4" ht="12.75">
      <c r="A21" s="32" t="s">
        <v>5</v>
      </c>
      <c r="B21" s="87" t="s">
        <v>262</v>
      </c>
      <c r="C21" s="92">
        <f>834.98+2600+3030</f>
        <v>6464.98</v>
      </c>
      <c r="D21" s="55" t="s">
        <v>310</v>
      </c>
    </row>
    <row r="22" spans="1:3" ht="12.75">
      <c r="A22" s="88" t="s">
        <v>132</v>
      </c>
      <c r="B22" s="88"/>
      <c r="C22" s="89"/>
    </row>
    <row r="23" spans="1:3" ht="12.75">
      <c r="A23" s="85" t="s">
        <v>0</v>
      </c>
      <c r="B23" s="85" t="s">
        <v>1</v>
      </c>
      <c r="C23" s="86" t="s">
        <v>52</v>
      </c>
    </row>
    <row r="24" spans="1:4" ht="12.75">
      <c r="A24" s="32" t="s">
        <v>3</v>
      </c>
      <c r="B24" s="87" t="s">
        <v>10</v>
      </c>
      <c r="C24" s="14">
        <v>27558.86</v>
      </c>
      <c r="D24" s="55" t="s">
        <v>311</v>
      </c>
    </row>
    <row r="25" spans="1:4" ht="12.75">
      <c r="A25" s="32" t="s">
        <v>4</v>
      </c>
      <c r="B25" s="87" t="s">
        <v>37</v>
      </c>
      <c r="C25" s="14">
        <v>3477</v>
      </c>
      <c r="D25" s="55" t="s">
        <v>311</v>
      </c>
    </row>
    <row r="26" spans="1:4" ht="12.75">
      <c r="A26" s="32" t="s">
        <v>5</v>
      </c>
      <c r="B26" s="87" t="s">
        <v>263</v>
      </c>
      <c r="C26" s="14">
        <v>529</v>
      </c>
      <c r="D26" s="55" t="s">
        <v>311</v>
      </c>
    </row>
    <row r="27" spans="1:4" ht="12.75">
      <c r="A27" s="32" t="s">
        <v>7</v>
      </c>
      <c r="B27" s="87" t="s">
        <v>67</v>
      </c>
      <c r="C27" s="14">
        <v>3799</v>
      </c>
      <c r="D27" s="55" t="s">
        <v>310</v>
      </c>
    </row>
    <row r="28" spans="1:3" ht="12.75">
      <c r="A28" s="88" t="s">
        <v>133</v>
      </c>
      <c r="B28" s="88"/>
      <c r="C28" s="89"/>
    </row>
    <row r="29" spans="1:3" ht="12.75">
      <c r="A29" s="85" t="s">
        <v>0</v>
      </c>
      <c r="B29" s="85" t="s">
        <v>1</v>
      </c>
      <c r="C29" s="86" t="s">
        <v>52</v>
      </c>
    </row>
    <row r="30" spans="1:4" ht="12.75">
      <c r="A30" s="32" t="s">
        <v>3</v>
      </c>
      <c r="B30" s="87" t="s">
        <v>10</v>
      </c>
      <c r="C30" s="14">
        <v>45465.28999999999</v>
      </c>
      <c r="D30" s="55" t="s">
        <v>311</v>
      </c>
    </row>
    <row r="31" spans="1:4" ht="12.75">
      <c r="A31" s="32" t="s">
        <v>4</v>
      </c>
      <c r="B31" s="91" t="s">
        <v>37</v>
      </c>
      <c r="C31" s="92">
        <v>13769.99</v>
      </c>
      <c r="D31" s="55" t="s">
        <v>311</v>
      </c>
    </row>
    <row r="32" spans="1:4" ht="12.75">
      <c r="A32" s="32" t="s">
        <v>5</v>
      </c>
      <c r="B32" s="91" t="s">
        <v>264</v>
      </c>
      <c r="C32" s="92">
        <v>2100</v>
      </c>
      <c r="D32" s="55" t="s">
        <v>311</v>
      </c>
    </row>
    <row r="33" spans="1:4" ht="12.75">
      <c r="A33" s="32" t="s">
        <v>7</v>
      </c>
      <c r="B33" s="91" t="s">
        <v>6</v>
      </c>
      <c r="C33" s="92">
        <v>3500</v>
      </c>
      <c r="D33" s="55" t="s">
        <v>310</v>
      </c>
    </row>
    <row r="34" spans="1:4" ht="12.75">
      <c r="A34" s="32" t="s">
        <v>8</v>
      </c>
      <c r="B34" s="91" t="s">
        <v>144</v>
      </c>
      <c r="C34" s="92">
        <v>2938.56</v>
      </c>
      <c r="D34" s="55" t="s">
        <v>310</v>
      </c>
    </row>
    <row r="35" spans="1:3" ht="12.75">
      <c r="A35" s="88" t="s">
        <v>135</v>
      </c>
      <c r="B35" s="88"/>
      <c r="C35" s="89"/>
    </row>
    <row r="36" spans="1:3" ht="12.75">
      <c r="A36" s="85" t="s">
        <v>0</v>
      </c>
      <c r="B36" s="85" t="s">
        <v>1</v>
      </c>
      <c r="C36" s="86" t="s">
        <v>52</v>
      </c>
    </row>
    <row r="37" spans="1:4" ht="12.75">
      <c r="A37" s="32" t="s">
        <v>3</v>
      </c>
      <c r="B37" s="91" t="s">
        <v>10</v>
      </c>
      <c r="C37" s="96">
        <f>1790+1562+890+1721.47+2829+2698</f>
        <v>11490.470000000001</v>
      </c>
      <c r="D37" s="55" t="s">
        <v>311</v>
      </c>
    </row>
    <row r="38" spans="1:4" ht="12.75">
      <c r="A38" s="32" t="s">
        <v>4</v>
      </c>
      <c r="B38" s="91" t="s">
        <v>37</v>
      </c>
      <c r="C38" s="96">
        <f>700+1229</f>
        <v>1929</v>
      </c>
      <c r="D38" s="55" t="s">
        <v>311</v>
      </c>
    </row>
    <row r="39" spans="1:4" ht="12.75">
      <c r="A39" s="32" t="s">
        <v>5</v>
      </c>
      <c r="B39" s="91" t="s">
        <v>145</v>
      </c>
      <c r="C39" s="96">
        <v>11276.58</v>
      </c>
      <c r="D39" s="55" t="s">
        <v>311</v>
      </c>
    </row>
    <row r="40" spans="1:4" ht="12.75">
      <c r="A40" s="32" t="s">
        <v>7</v>
      </c>
      <c r="B40" s="91" t="s">
        <v>129</v>
      </c>
      <c r="C40" s="96">
        <f>5552.98+5810+1060</f>
        <v>12422.98</v>
      </c>
      <c r="D40" s="55" t="s">
        <v>311</v>
      </c>
    </row>
    <row r="41" spans="1:4" ht="12.75">
      <c r="A41" s="32" t="s">
        <v>8</v>
      </c>
      <c r="B41" s="91" t="s">
        <v>264</v>
      </c>
      <c r="C41" s="96">
        <f>2956</f>
        <v>2956</v>
      </c>
      <c r="D41" s="55" t="s">
        <v>311</v>
      </c>
    </row>
    <row r="42" spans="1:4" ht="12.75">
      <c r="A42" s="32" t="s">
        <v>9</v>
      </c>
      <c r="B42" s="91" t="s">
        <v>265</v>
      </c>
      <c r="C42" s="96">
        <v>30636.6</v>
      </c>
      <c r="D42" s="55" t="s">
        <v>311</v>
      </c>
    </row>
    <row r="43" spans="1:4" ht="12.75">
      <c r="A43" s="32" t="s">
        <v>11</v>
      </c>
      <c r="B43" s="91" t="s">
        <v>6</v>
      </c>
      <c r="C43" s="96">
        <f>1750+790</f>
        <v>2540</v>
      </c>
      <c r="D43" s="55" t="s">
        <v>310</v>
      </c>
    </row>
    <row r="44" spans="1:3" ht="12.75">
      <c r="A44" s="88" t="s">
        <v>146</v>
      </c>
      <c r="B44" s="88"/>
      <c r="C44" s="89"/>
    </row>
    <row r="45" spans="1:3" ht="12.75">
      <c r="A45" s="85" t="s">
        <v>0</v>
      </c>
      <c r="B45" s="85" t="s">
        <v>1</v>
      </c>
      <c r="C45" s="86" t="s">
        <v>52</v>
      </c>
    </row>
    <row r="46" spans="1:4" ht="12.75">
      <c r="A46" s="32" t="s">
        <v>3</v>
      </c>
      <c r="B46" s="91" t="s">
        <v>10</v>
      </c>
      <c r="C46" s="96">
        <f>3660+5924.25</f>
        <v>9584.25</v>
      </c>
      <c r="D46" s="55" t="s">
        <v>311</v>
      </c>
    </row>
    <row r="47" spans="1:4" ht="12.75">
      <c r="A47" s="32" t="s">
        <v>4</v>
      </c>
      <c r="B47" s="91" t="s">
        <v>121</v>
      </c>
      <c r="C47" s="92">
        <v>23998.01</v>
      </c>
      <c r="D47" s="55" t="s">
        <v>311</v>
      </c>
    </row>
    <row r="48" spans="1:4" ht="12.75">
      <c r="A48" s="32" t="s">
        <v>5</v>
      </c>
      <c r="B48" s="91" t="s">
        <v>266</v>
      </c>
      <c r="C48" s="92">
        <v>18008.98</v>
      </c>
      <c r="D48" s="55" t="s">
        <v>311</v>
      </c>
    </row>
    <row r="49" spans="1:3" ht="12.75">
      <c r="A49" s="88" t="s">
        <v>153</v>
      </c>
      <c r="B49" s="88"/>
      <c r="C49" s="89"/>
    </row>
    <row r="50" spans="1:3" ht="12.75">
      <c r="A50" s="85" t="s">
        <v>0</v>
      </c>
      <c r="B50" s="85" t="s">
        <v>1</v>
      </c>
      <c r="C50" s="86" t="s">
        <v>52</v>
      </c>
    </row>
    <row r="51" spans="1:4" ht="12.75">
      <c r="A51" s="32" t="s">
        <v>3</v>
      </c>
      <c r="B51" s="91" t="s">
        <v>10</v>
      </c>
      <c r="C51" s="92">
        <f>7171.9</f>
        <v>7171.9</v>
      </c>
      <c r="D51" s="55" t="s">
        <v>311</v>
      </c>
    </row>
    <row r="52" spans="1:4" ht="12.75">
      <c r="A52" s="32" t="s">
        <v>4</v>
      </c>
      <c r="B52" s="91" t="s">
        <v>37</v>
      </c>
      <c r="C52" s="92">
        <f>10339.98</f>
        <v>10339.98</v>
      </c>
      <c r="D52" s="55" t="s">
        <v>311</v>
      </c>
    </row>
    <row r="53" spans="1:4" ht="12.75">
      <c r="A53" s="32" t="s">
        <v>5</v>
      </c>
      <c r="B53" s="91" t="s">
        <v>267</v>
      </c>
      <c r="C53" s="92">
        <v>11000</v>
      </c>
      <c r="D53" s="55" t="s">
        <v>311</v>
      </c>
    </row>
    <row r="54" spans="1:4" ht="12.75">
      <c r="A54" s="32" t="s">
        <v>7</v>
      </c>
      <c r="B54" s="91" t="s">
        <v>129</v>
      </c>
      <c r="C54" s="92">
        <v>1679</v>
      </c>
      <c r="D54" s="55" t="s">
        <v>311</v>
      </c>
    </row>
    <row r="55" spans="1:4" ht="12.75">
      <c r="A55" s="32" t="s">
        <v>8</v>
      </c>
      <c r="B55" s="91" t="s">
        <v>262</v>
      </c>
      <c r="C55" s="92">
        <f>8970.4</f>
        <v>8970.4</v>
      </c>
      <c r="D55" s="55" t="s">
        <v>310</v>
      </c>
    </row>
    <row r="56" spans="1:3" ht="12.75">
      <c r="A56" s="88" t="s">
        <v>157</v>
      </c>
      <c r="B56" s="88"/>
      <c r="C56" s="89"/>
    </row>
    <row r="57" spans="1:3" ht="12.75">
      <c r="A57" s="85" t="s">
        <v>0</v>
      </c>
      <c r="B57" s="85" t="s">
        <v>1</v>
      </c>
      <c r="C57" s="86" t="s">
        <v>52</v>
      </c>
    </row>
    <row r="58" spans="1:4" ht="12.75">
      <c r="A58" s="32" t="s">
        <v>3</v>
      </c>
      <c r="B58" s="91" t="s">
        <v>10</v>
      </c>
      <c r="C58" s="92">
        <f>48394.85</f>
        <v>48394.85</v>
      </c>
      <c r="D58" s="55" t="s">
        <v>311</v>
      </c>
    </row>
    <row r="59" spans="1:4" ht="12.75">
      <c r="A59" s="32" t="s">
        <v>4</v>
      </c>
      <c r="B59" s="91" t="s">
        <v>37</v>
      </c>
      <c r="C59" s="92">
        <v>5300</v>
      </c>
      <c r="D59" s="55" t="s">
        <v>311</v>
      </c>
    </row>
    <row r="60" spans="1:4" ht="12.75">
      <c r="A60" s="32" t="s">
        <v>5</v>
      </c>
      <c r="B60" s="91" t="s">
        <v>267</v>
      </c>
      <c r="C60" s="92">
        <f>58388.99</f>
        <v>58388.99</v>
      </c>
      <c r="D60" s="55" t="s">
        <v>311</v>
      </c>
    </row>
    <row r="61" spans="1:4" ht="12.75">
      <c r="A61" s="32" t="s">
        <v>7</v>
      </c>
      <c r="B61" s="91" t="s">
        <v>129</v>
      </c>
      <c r="C61" s="92">
        <v>2700</v>
      </c>
      <c r="D61" s="55" t="s">
        <v>311</v>
      </c>
    </row>
    <row r="62" spans="1:4" ht="12.75">
      <c r="A62" s="32" t="s">
        <v>8</v>
      </c>
      <c r="B62" s="91" t="s">
        <v>262</v>
      </c>
      <c r="C62" s="92">
        <v>85183.42</v>
      </c>
      <c r="D62" s="55" t="s">
        <v>310</v>
      </c>
    </row>
    <row r="63" spans="1:3" ht="12.75">
      <c r="A63" s="88" t="s">
        <v>162</v>
      </c>
      <c r="B63" s="88"/>
      <c r="C63" s="89"/>
    </row>
    <row r="64" spans="1:3" ht="12.75">
      <c r="A64" s="85" t="s">
        <v>0</v>
      </c>
      <c r="B64" s="85" t="s">
        <v>1</v>
      </c>
      <c r="C64" s="86" t="s">
        <v>52</v>
      </c>
    </row>
    <row r="65" spans="1:4" ht="12.75">
      <c r="A65" s="32" t="s">
        <v>3</v>
      </c>
      <c r="B65" s="91" t="s">
        <v>10</v>
      </c>
      <c r="C65" s="92">
        <f>73379.63</f>
        <v>73379.63</v>
      </c>
      <c r="D65" s="55" t="s">
        <v>311</v>
      </c>
    </row>
    <row r="66" spans="1:4" ht="12.75">
      <c r="A66" s="32" t="s">
        <v>4</v>
      </c>
      <c r="B66" s="91" t="s">
        <v>268</v>
      </c>
      <c r="C66" s="92">
        <f>379+2760</f>
        <v>3139</v>
      </c>
      <c r="D66" s="55" t="s">
        <v>311</v>
      </c>
    </row>
    <row r="67" spans="1:4" ht="12.75">
      <c r="A67" s="32" t="s">
        <v>5</v>
      </c>
      <c r="B67" s="91" t="s">
        <v>37</v>
      </c>
      <c r="C67" s="92">
        <f>19608.64</f>
        <v>19608.64</v>
      </c>
      <c r="D67" s="55" t="s">
        <v>311</v>
      </c>
    </row>
    <row r="68" spans="1:4" ht="12.75">
      <c r="A68" s="32" t="s">
        <v>7</v>
      </c>
      <c r="B68" s="91" t="s">
        <v>267</v>
      </c>
      <c r="C68" s="92">
        <f>172082.37</f>
        <v>172082.37</v>
      </c>
      <c r="D68" s="55" t="s">
        <v>311</v>
      </c>
    </row>
    <row r="69" spans="1:4" ht="12.75">
      <c r="A69" s="32" t="s">
        <v>8</v>
      </c>
      <c r="B69" s="91" t="s">
        <v>129</v>
      </c>
      <c r="C69" s="92">
        <f>14263.09</f>
        <v>14263.09</v>
      </c>
      <c r="D69" s="55" t="s">
        <v>311</v>
      </c>
    </row>
    <row r="70" spans="1:4" ht="12.75">
      <c r="A70" s="32" t="s">
        <v>9</v>
      </c>
      <c r="B70" s="91" t="s">
        <v>262</v>
      </c>
      <c r="C70" s="92">
        <f>212365.64</f>
        <v>212365.64</v>
      </c>
      <c r="D70" s="55" t="s">
        <v>310</v>
      </c>
    </row>
    <row r="71" spans="1:3" ht="12.75">
      <c r="A71" s="88" t="s">
        <v>301</v>
      </c>
      <c r="B71" s="88"/>
      <c r="C71" s="89"/>
    </row>
    <row r="72" spans="1:3" ht="12.75">
      <c r="A72" s="85" t="s">
        <v>0</v>
      </c>
      <c r="B72" s="85" t="s">
        <v>1</v>
      </c>
      <c r="C72" s="86" t="s">
        <v>52</v>
      </c>
    </row>
    <row r="73" spans="1:4" ht="12.75">
      <c r="A73" s="32" t="s">
        <v>3</v>
      </c>
      <c r="B73" s="91" t="s">
        <v>10</v>
      </c>
      <c r="C73" s="92">
        <f>12742</f>
        <v>12742</v>
      </c>
      <c r="D73" s="55" t="s">
        <v>311</v>
      </c>
    </row>
    <row r="74" spans="1:4" ht="12.75">
      <c r="A74" s="32" t="s">
        <v>4</v>
      </c>
      <c r="B74" s="91" t="s">
        <v>37</v>
      </c>
      <c r="C74" s="92">
        <f>1784</f>
        <v>1784</v>
      </c>
      <c r="D74" s="55" t="s">
        <v>311</v>
      </c>
    </row>
    <row r="75" spans="1:4" ht="12.75">
      <c r="A75" s="32" t="s">
        <v>5</v>
      </c>
      <c r="B75" s="91" t="s">
        <v>263</v>
      </c>
      <c r="C75" s="92">
        <v>491.8</v>
      </c>
      <c r="D75" s="55" t="s">
        <v>311</v>
      </c>
    </row>
    <row r="76" spans="1:4" ht="12.75">
      <c r="A76" s="32" t="s">
        <v>7</v>
      </c>
      <c r="B76" s="91" t="s">
        <v>145</v>
      </c>
      <c r="C76" s="92">
        <f>4200</f>
        <v>4200</v>
      </c>
      <c r="D76" s="55" t="s">
        <v>311</v>
      </c>
    </row>
    <row r="77" spans="1:4" ht="12.75">
      <c r="A77" s="32" t="s">
        <v>8</v>
      </c>
      <c r="B77" s="91" t="s">
        <v>269</v>
      </c>
      <c r="C77" s="92">
        <f>37188.99</f>
        <v>37188.99</v>
      </c>
      <c r="D77" s="55" t="s">
        <v>311</v>
      </c>
    </row>
    <row r="78" spans="1:4" ht="12.75">
      <c r="A78" s="32" t="s">
        <v>9</v>
      </c>
      <c r="B78" s="91" t="s">
        <v>129</v>
      </c>
      <c r="C78" s="92">
        <f>1399</f>
        <v>1399</v>
      </c>
      <c r="D78" s="55" t="s">
        <v>311</v>
      </c>
    </row>
    <row r="79" spans="1:4" ht="12.75">
      <c r="A79" s="32" t="s">
        <v>11</v>
      </c>
      <c r="B79" s="91" t="s">
        <v>262</v>
      </c>
      <c r="C79" s="92">
        <f>71642.5</f>
        <v>71642.5</v>
      </c>
      <c r="D79" s="55" t="s">
        <v>310</v>
      </c>
    </row>
    <row r="80" spans="1:3" ht="12.75">
      <c r="A80" s="88" t="s">
        <v>302</v>
      </c>
      <c r="B80" s="88"/>
      <c r="C80" s="89"/>
    </row>
    <row r="81" spans="1:3" ht="12.75">
      <c r="A81" s="85" t="s">
        <v>0</v>
      </c>
      <c r="B81" s="85" t="s">
        <v>1</v>
      </c>
      <c r="C81" s="86" t="s">
        <v>52</v>
      </c>
    </row>
    <row r="82" spans="1:4" ht="12.75">
      <c r="A82" s="32" t="s">
        <v>3</v>
      </c>
      <c r="B82" s="91" t="s">
        <v>10</v>
      </c>
      <c r="C82" s="92">
        <f>31662.81</f>
        <v>31662.81</v>
      </c>
      <c r="D82" s="55" t="s">
        <v>311</v>
      </c>
    </row>
    <row r="83" spans="1:4" ht="12.75">
      <c r="A83" s="32" t="s">
        <v>4</v>
      </c>
      <c r="B83" s="91" t="s">
        <v>37</v>
      </c>
      <c r="C83" s="92">
        <f>6403.9</f>
        <v>6403.9</v>
      </c>
      <c r="D83" s="55" t="s">
        <v>311</v>
      </c>
    </row>
    <row r="84" spans="1:4" ht="12.75">
      <c r="A84" s="32" t="s">
        <v>5</v>
      </c>
      <c r="B84" s="91" t="s">
        <v>263</v>
      </c>
      <c r="C84" s="92">
        <v>355</v>
      </c>
      <c r="D84" s="55" t="s">
        <v>311</v>
      </c>
    </row>
    <row r="85" spans="1:4" ht="12.75">
      <c r="A85" s="32" t="s">
        <v>7</v>
      </c>
      <c r="B85" s="91" t="s">
        <v>145</v>
      </c>
      <c r="C85" s="92">
        <f>3577</f>
        <v>3577</v>
      </c>
      <c r="D85" s="55" t="s">
        <v>311</v>
      </c>
    </row>
    <row r="86" spans="1:4" ht="12.75">
      <c r="A86" s="32" t="s">
        <v>8</v>
      </c>
      <c r="B86" s="91" t="s">
        <v>267</v>
      </c>
      <c r="C86" s="92">
        <f>55798.2</f>
        <v>55798.2</v>
      </c>
      <c r="D86" s="55" t="s">
        <v>311</v>
      </c>
    </row>
    <row r="87" spans="1:4" ht="12.75">
      <c r="A87" s="32" t="s">
        <v>9</v>
      </c>
      <c r="B87" s="91" t="s">
        <v>129</v>
      </c>
      <c r="C87" s="92">
        <v>2676.41</v>
      </c>
      <c r="D87" s="55" t="s">
        <v>311</v>
      </c>
    </row>
    <row r="88" spans="1:4" ht="12.75">
      <c r="A88" s="32" t="s">
        <v>11</v>
      </c>
      <c r="B88" s="91" t="s">
        <v>262</v>
      </c>
      <c r="C88" s="92">
        <f>73655.92</f>
        <v>73655.92</v>
      </c>
      <c r="D88" s="55" t="s">
        <v>310</v>
      </c>
    </row>
    <row r="89" spans="1:3" ht="12.75">
      <c r="A89" s="88" t="s">
        <v>303</v>
      </c>
      <c r="B89" s="88"/>
      <c r="C89" s="89"/>
    </row>
    <row r="90" spans="1:3" ht="12.75">
      <c r="A90" s="85" t="s">
        <v>0</v>
      </c>
      <c r="B90" s="85" t="s">
        <v>1</v>
      </c>
      <c r="C90" s="86" t="s">
        <v>52</v>
      </c>
    </row>
    <row r="91" spans="1:4" ht="12.75">
      <c r="A91" s="32" t="s">
        <v>3</v>
      </c>
      <c r="B91" s="91" t="s">
        <v>10</v>
      </c>
      <c r="C91" s="92">
        <f>25254.42</f>
        <v>25254.42</v>
      </c>
      <c r="D91" s="55" t="s">
        <v>311</v>
      </c>
    </row>
    <row r="92" spans="1:4" ht="12.75">
      <c r="A92" s="32" t="s">
        <v>4</v>
      </c>
      <c r="B92" s="91" t="s">
        <v>37</v>
      </c>
      <c r="C92" s="92">
        <v>2150</v>
      </c>
      <c r="D92" s="55" t="s">
        <v>311</v>
      </c>
    </row>
    <row r="93" spans="1:4" ht="12.75">
      <c r="A93" s="32" t="s">
        <v>5</v>
      </c>
      <c r="B93" s="91" t="s">
        <v>267</v>
      </c>
      <c r="C93" s="92">
        <f>38498</f>
        <v>38498</v>
      </c>
      <c r="D93" s="55" t="s">
        <v>311</v>
      </c>
    </row>
    <row r="94" spans="1:4" ht="12.75">
      <c r="A94" s="32" t="s">
        <v>7</v>
      </c>
      <c r="B94" s="91" t="s">
        <v>129</v>
      </c>
      <c r="C94" s="92">
        <v>1990</v>
      </c>
      <c r="D94" s="55" t="s">
        <v>311</v>
      </c>
    </row>
    <row r="95" spans="1:4" ht="12.75">
      <c r="A95" s="32" t="s">
        <v>8</v>
      </c>
      <c r="B95" s="91" t="s">
        <v>262</v>
      </c>
      <c r="C95" s="92">
        <f>56572.38</f>
        <v>56572.38</v>
      </c>
      <c r="D95" s="55" t="s">
        <v>310</v>
      </c>
    </row>
    <row r="96" spans="1:3" ht="12.75">
      <c r="A96" s="88" t="s">
        <v>304</v>
      </c>
      <c r="B96" s="88"/>
      <c r="C96" s="89"/>
    </row>
    <row r="97" spans="1:3" ht="12.75">
      <c r="A97" s="85" t="s">
        <v>0</v>
      </c>
      <c r="B97" s="85" t="s">
        <v>1</v>
      </c>
      <c r="C97" s="86" t="s">
        <v>52</v>
      </c>
    </row>
    <row r="98" spans="1:4" ht="12.75">
      <c r="A98" s="32" t="s">
        <v>3</v>
      </c>
      <c r="B98" s="91" t="s">
        <v>10</v>
      </c>
      <c r="C98" s="92">
        <f>2050</f>
        <v>2050</v>
      </c>
      <c r="D98" s="55" t="s">
        <v>311</v>
      </c>
    </row>
    <row r="99" spans="1:4" ht="12.75">
      <c r="A99" s="32" t="s">
        <v>4</v>
      </c>
      <c r="B99" s="91" t="s">
        <v>37</v>
      </c>
      <c r="C99" s="92">
        <f>1190</f>
        <v>1190</v>
      </c>
      <c r="D99" s="55" t="s">
        <v>311</v>
      </c>
    </row>
    <row r="102" spans="2:3" ht="12.75">
      <c r="B102" s="93" t="s">
        <v>1</v>
      </c>
      <c r="C102" s="94" t="s">
        <v>52</v>
      </c>
    </row>
    <row r="103" spans="2:3" ht="12.75">
      <c r="B103" s="91" t="s">
        <v>316</v>
      </c>
      <c r="C103" s="92">
        <f>SUMIF(D:D,"s",C:C)</f>
        <v>1255538.2699999998</v>
      </c>
    </row>
    <row r="104" spans="2:3" ht="12.75">
      <c r="B104" s="91" t="s">
        <v>262</v>
      </c>
      <c r="C104" s="92">
        <f>SUMIF(D:D,"p",C:C)</f>
        <v>554881.88</v>
      </c>
    </row>
    <row r="105" spans="2:3" ht="12.75">
      <c r="B105" s="93" t="s">
        <v>315</v>
      </c>
      <c r="C105" s="94">
        <f>SUM(C103:C104)</f>
        <v>1810420.15</v>
      </c>
    </row>
  </sheetData>
  <sheetProtection/>
  <printOptions/>
  <pageMargins left="0.75" right="0.75" top="1" bottom="1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9">
      <selection activeCell="J27" sqref="J27"/>
    </sheetView>
  </sheetViews>
  <sheetFormatPr defaultColWidth="9.140625" defaultRowHeight="12.75"/>
  <cols>
    <col min="1" max="1" width="8.8515625" style="5" customWidth="1"/>
    <col min="2" max="2" width="12.28125" style="5" customWidth="1"/>
    <col min="3" max="4" width="15.28125" style="5" customWidth="1"/>
    <col min="5" max="5" width="19.8515625" style="5" bestFit="1" customWidth="1"/>
    <col min="6" max="6" width="9.7109375" style="35" bestFit="1" customWidth="1"/>
    <col min="7" max="7" width="12.140625" style="35" customWidth="1"/>
    <col min="8" max="8" width="21.7109375" style="35" customWidth="1"/>
    <col min="9" max="9" width="20.28125" style="35" customWidth="1"/>
    <col min="10" max="10" width="13.421875" style="36" customWidth="1"/>
    <col min="11" max="11" width="10.8515625" style="5" customWidth="1"/>
    <col min="12" max="12" width="11.00390625" style="5" customWidth="1"/>
    <col min="13" max="13" width="12.140625" style="5" customWidth="1"/>
    <col min="14" max="14" width="22.28125" style="5" customWidth="1"/>
    <col min="15" max="15" width="23.140625" style="5" customWidth="1"/>
    <col min="16" max="16384" width="8.8515625" style="5" customWidth="1"/>
  </cols>
  <sheetData>
    <row r="1" ht="12.75">
      <c r="A1" s="34" t="s">
        <v>247</v>
      </c>
    </row>
    <row r="3" spans="1:15" ht="17.25">
      <c r="A3" s="37" t="s">
        <v>248</v>
      </c>
      <c r="B3" s="37"/>
      <c r="C3" s="37"/>
      <c r="D3" s="37"/>
      <c r="E3" s="37"/>
      <c r="F3" s="38"/>
      <c r="G3" s="38"/>
      <c r="H3" s="38"/>
      <c r="I3" s="38"/>
      <c r="J3" s="39"/>
      <c r="K3" s="37"/>
      <c r="L3" s="37"/>
      <c r="M3" s="37"/>
      <c r="N3" s="37"/>
      <c r="O3" s="37"/>
    </row>
    <row r="5" spans="1:15" ht="26.25">
      <c r="A5" s="2" t="s">
        <v>246</v>
      </c>
      <c r="B5" s="2" t="s">
        <v>48</v>
      </c>
      <c r="C5" s="2" t="s">
        <v>168</v>
      </c>
      <c r="D5" s="2" t="s">
        <v>169</v>
      </c>
      <c r="E5" s="2" t="s">
        <v>49</v>
      </c>
      <c r="F5" s="3" t="s">
        <v>54</v>
      </c>
      <c r="G5" s="3" t="s">
        <v>69</v>
      </c>
      <c r="H5" s="3" t="s">
        <v>70</v>
      </c>
      <c r="I5" s="3" t="s">
        <v>50</v>
      </c>
      <c r="J5" s="4" t="s">
        <v>55</v>
      </c>
      <c r="K5" s="2" t="s">
        <v>56</v>
      </c>
      <c r="L5" s="2" t="s">
        <v>57</v>
      </c>
      <c r="M5" s="2" t="s">
        <v>58</v>
      </c>
      <c r="N5" s="2" t="s">
        <v>59</v>
      </c>
      <c r="O5" s="2" t="s">
        <v>60</v>
      </c>
    </row>
    <row r="6" spans="1:15" ht="26.25">
      <c r="A6" s="6" t="s">
        <v>3</v>
      </c>
      <c r="B6" s="7" t="s">
        <v>317</v>
      </c>
      <c r="C6" s="7" t="s">
        <v>170</v>
      </c>
      <c r="D6" s="7" t="s">
        <v>171</v>
      </c>
      <c r="E6" s="7" t="s">
        <v>172</v>
      </c>
      <c r="F6" s="8">
        <v>9</v>
      </c>
      <c r="G6" s="8">
        <v>1992</v>
      </c>
      <c r="H6" s="8">
        <v>2399</v>
      </c>
      <c r="I6" s="8" t="s">
        <v>173</v>
      </c>
      <c r="J6" s="9" t="s">
        <v>44</v>
      </c>
      <c r="K6" s="6" t="s">
        <v>502</v>
      </c>
      <c r="L6" s="6" t="s">
        <v>44</v>
      </c>
      <c r="M6" s="6" t="s">
        <v>502</v>
      </c>
      <c r="N6" s="6" t="s">
        <v>174</v>
      </c>
      <c r="O6" s="6" t="s">
        <v>175</v>
      </c>
    </row>
    <row r="7" spans="1:15" ht="26.25">
      <c r="A7" s="6" t="s">
        <v>4</v>
      </c>
      <c r="B7" s="7" t="s">
        <v>318</v>
      </c>
      <c r="C7" s="7" t="s">
        <v>176</v>
      </c>
      <c r="D7" s="10" t="s">
        <v>177</v>
      </c>
      <c r="E7" s="7" t="s">
        <v>172</v>
      </c>
      <c r="F7" s="8">
        <v>4</v>
      </c>
      <c r="G7" s="8">
        <v>1987</v>
      </c>
      <c r="H7" s="8">
        <v>11100</v>
      </c>
      <c r="I7" s="8" t="s">
        <v>178</v>
      </c>
      <c r="J7" s="9" t="s">
        <v>44</v>
      </c>
      <c r="K7" s="6" t="s">
        <v>503</v>
      </c>
      <c r="L7" s="6" t="s">
        <v>44</v>
      </c>
      <c r="M7" s="6" t="s">
        <v>503</v>
      </c>
      <c r="N7" s="6" t="s">
        <v>174</v>
      </c>
      <c r="O7" s="6" t="s">
        <v>175</v>
      </c>
    </row>
    <row r="8" spans="1:15" ht="26.25">
      <c r="A8" s="6" t="s">
        <v>5</v>
      </c>
      <c r="B8" s="7" t="s">
        <v>319</v>
      </c>
      <c r="C8" s="7" t="s">
        <v>179</v>
      </c>
      <c r="D8" s="7" t="s">
        <v>180</v>
      </c>
      <c r="E8" s="7" t="s">
        <v>172</v>
      </c>
      <c r="F8" s="8">
        <v>9</v>
      </c>
      <c r="G8" s="8">
        <v>1974</v>
      </c>
      <c r="H8" s="8" t="s">
        <v>181</v>
      </c>
      <c r="I8" s="11">
        <v>30905011170483</v>
      </c>
      <c r="J8" s="9" t="s">
        <v>44</v>
      </c>
      <c r="K8" s="6" t="s">
        <v>503</v>
      </c>
      <c r="L8" s="6" t="s">
        <v>44</v>
      </c>
      <c r="M8" s="6" t="s">
        <v>503</v>
      </c>
      <c r="N8" s="6" t="s">
        <v>174</v>
      </c>
      <c r="O8" s="6" t="s">
        <v>175</v>
      </c>
    </row>
    <row r="9" spans="1:15" ht="26.25">
      <c r="A9" s="6" t="s">
        <v>7</v>
      </c>
      <c r="B9" s="7" t="s">
        <v>320</v>
      </c>
      <c r="C9" s="7" t="s">
        <v>176</v>
      </c>
      <c r="D9" s="7" t="s">
        <v>182</v>
      </c>
      <c r="E9" s="7" t="s">
        <v>172</v>
      </c>
      <c r="F9" s="8">
        <v>4</v>
      </c>
      <c r="G9" s="8">
        <v>1981</v>
      </c>
      <c r="H9" s="8" t="s">
        <v>183</v>
      </c>
      <c r="I9" s="8" t="s">
        <v>184</v>
      </c>
      <c r="J9" s="9" t="s">
        <v>44</v>
      </c>
      <c r="K9" s="6" t="s">
        <v>503</v>
      </c>
      <c r="L9" s="6" t="s">
        <v>44</v>
      </c>
      <c r="M9" s="6" t="s">
        <v>503</v>
      </c>
      <c r="N9" s="6" t="s">
        <v>174</v>
      </c>
      <c r="O9" s="6" t="s">
        <v>175</v>
      </c>
    </row>
    <row r="10" spans="1:15" ht="26.25">
      <c r="A10" s="6" t="s">
        <v>8</v>
      </c>
      <c r="B10" s="7" t="s">
        <v>321</v>
      </c>
      <c r="C10" s="7" t="s">
        <v>185</v>
      </c>
      <c r="D10" s="7" t="s">
        <v>186</v>
      </c>
      <c r="E10" s="7" t="s">
        <v>172</v>
      </c>
      <c r="F10" s="8">
        <v>9</v>
      </c>
      <c r="G10" s="8">
        <v>1996</v>
      </c>
      <c r="H10" s="8">
        <v>2446</v>
      </c>
      <c r="I10" s="8" t="s">
        <v>187</v>
      </c>
      <c r="J10" s="9" t="s">
        <v>44</v>
      </c>
      <c r="K10" s="6" t="s">
        <v>503</v>
      </c>
      <c r="L10" s="6" t="s">
        <v>44</v>
      </c>
      <c r="M10" s="6" t="s">
        <v>503</v>
      </c>
      <c r="N10" s="6" t="s">
        <v>174</v>
      </c>
      <c r="O10" s="6" t="s">
        <v>175</v>
      </c>
    </row>
    <row r="11" spans="1:15" ht="26.25">
      <c r="A11" s="6" t="s">
        <v>9</v>
      </c>
      <c r="B11" s="7" t="s">
        <v>322</v>
      </c>
      <c r="C11" s="7" t="s">
        <v>188</v>
      </c>
      <c r="D11" s="7" t="s">
        <v>189</v>
      </c>
      <c r="E11" s="7" t="s">
        <v>172</v>
      </c>
      <c r="F11" s="8">
        <v>6</v>
      </c>
      <c r="G11" s="8">
        <v>2011</v>
      </c>
      <c r="H11" s="8">
        <v>2402</v>
      </c>
      <c r="I11" s="8" t="s">
        <v>190</v>
      </c>
      <c r="J11" s="9" t="s">
        <v>44</v>
      </c>
      <c r="K11" s="6" t="s">
        <v>503</v>
      </c>
      <c r="L11" s="6" t="s">
        <v>44</v>
      </c>
      <c r="M11" s="6" t="s">
        <v>503</v>
      </c>
      <c r="N11" s="6" t="s">
        <v>174</v>
      </c>
      <c r="O11" s="6" t="s">
        <v>191</v>
      </c>
    </row>
    <row r="12" spans="1:15" ht="26.25">
      <c r="A12" s="6" t="s">
        <v>11</v>
      </c>
      <c r="B12" s="7" t="s">
        <v>323</v>
      </c>
      <c r="C12" s="7" t="s">
        <v>192</v>
      </c>
      <c r="D12" s="7" t="s">
        <v>193</v>
      </c>
      <c r="E12" s="7" t="s">
        <v>172</v>
      </c>
      <c r="F12" s="8">
        <v>6</v>
      </c>
      <c r="G12" s="8">
        <v>1986</v>
      </c>
      <c r="H12" s="8">
        <v>6560</v>
      </c>
      <c r="I12" s="8">
        <v>8601678</v>
      </c>
      <c r="J12" s="9" t="s">
        <v>44</v>
      </c>
      <c r="K12" s="6" t="s">
        <v>504</v>
      </c>
      <c r="L12" s="6" t="s">
        <v>44</v>
      </c>
      <c r="M12" s="6" t="s">
        <v>504</v>
      </c>
      <c r="N12" s="6" t="s">
        <v>174</v>
      </c>
      <c r="O12" s="6" t="s">
        <v>191</v>
      </c>
    </row>
    <row r="13" spans="1:15" ht="26.25">
      <c r="A13" s="6" t="s">
        <v>12</v>
      </c>
      <c r="B13" s="7" t="s">
        <v>324</v>
      </c>
      <c r="C13" s="7" t="s">
        <v>194</v>
      </c>
      <c r="D13" s="7" t="s">
        <v>195</v>
      </c>
      <c r="E13" s="7" t="s">
        <v>172</v>
      </c>
      <c r="F13" s="8">
        <v>6</v>
      </c>
      <c r="G13" s="8">
        <v>1995</v>
      </c>
      <c r="H13" s="8" t="s">
        <v>196</v>
      </c>
      <c r="I13" s="8" t="s">
        <v>197</v>
      </c>
      <c r="J13" s="9" t="s">
        <v>44</v>
      </c>
      <c r="K13" s="6" t="s">
        <v>505</v>
      </c>
      <c r="L13" s="6" t="s">
        <v>44</v>
      </c>
      <c r="M13" s="6" t="s">
        <v>505</v>
      </c>
      <c r="N13" s="6" t="s">
        <v>174</v>
      </c>
      <c r="O13" s="6" t="s">
        <v>191</v>
      </c>
    </row>
    <row r="14" spans="1:15" ht="26.25">
      <c r="A14" s="6" t="s">
        <v>13</v>
      </c>
      <c r="B14" s="7" t="s">
        <v>325</v>
      </c>
      <c r="C14" s="7" t="s">
        <v>176</v>
      </c>
      <c r="D14" s="10" t="s">
        <v>198</v>
      </c>
      <c r="E14" s="7" t="s">
        <v>172</v>
      </c>
      <c r="F14" s="8">
        <v>6</v>
      </c>
      <c r="G14" s="8">
        <v>1985</v>
      </c>
      <c r="H14" s="8">
        <v>6842</v>
      </c>
      <c r="I14" s="8">
        <v>9799</v>
      </c>
      <c r="J14" s="9" t="s">
        <v>44</v>
      </c>
      <c r="K14" s="6" t="s">
        <v>503</v>
      </c>
      <c r="L14" s="6" t="s">
        <v>44</v>
      </c>
      <c r="M14" s="6" t="s">
        <v>503</v>
      </c>
      <c r="N14" s="6" t="s">
        <v>174</v>
      </c>
      <c r="O14" s="6" t="s">
        <v>175</v>
      </c>
    </row>
    <row r="15" spans="1:15" ht="26.25">
      <c r="A15" s="6" t="s">
        <v>14</v>
      </c>
      <c r="B15" s="12" t="s">
        <v>326</v>
      </c>
      <c r="C15" s="12" t="s">
        <v>200</v>
      </c>
      <c r="D15" s="12" t="s">
        <v>201</v>
      </c>
      <c r="E15" s="12" t="s">
        <v>202</v>
      </c>
      <c r="F15" s="13" t="s">
        <v>44</v>
      </c>
      <c r="G15" s="13">
        <v>1984</v>
      </c>
      <c r="H15" s="13">
        <v>18600</v>
      </c>
      <c r="I15" s="13">
        <v>5478</v>
      </c>
      <c r="J15" s="14" t="s">
        <v>44</v>
      </c>
      <c r="K15" s="6" t="s">
        <v>503</v>
      </c>
      <c r="L15" s="15" t="s">
        <v>44</v>
      </c>
      <c r="M15" s="15" t="s">
        <v>44</v>
      </c>
      <c r="N15" s="15" t="s">
        <v>174</v>
      </c>
      <c r="O15" s="6" t="s">
        <v>199</v>
      </c>
    </row>
    <row r="16" spans="1:15" ht="26.25">
      <c r="A16" s="6" t="s">
        <v>15</v>
      </c>
      <c r="B16" s="12" t="s">
        <v>327</v>
      </c>
      <c r="C16" s="12" t="s">
        <v>203</v>
      </c>
      <c r="D16" s="12" t="s">
        <v>204</v>
      </c>
      <c r="E16" s="12" t="s">
        <v>205</v>
      </c>
      <c r="F16" s="13">
        <v>8</v>
      </c>
      <c r="G16" s="13">
        <v>1991</v>
      </c>
      <c r="H16" s="13">
        <v>2370</v>
      </c>
      <c r="I16" s="13" t="s">
        <v>206</v>
      </c>
      <c r="J16" s="9" t="s">
        <v>44</v>
      </c>
      <c r="K16" s="6" t="s">
        <v>503</v>
      </c>
      <c r="L16" s="6" t="s">
        <v>44</v>
      </c>
      <c r="M16" s="6" t="s">
        <v>503</v>
      </c>
      <c r="N16" s="6" t="s">
        <v>174</v>
      </c>
      <c r="O16" s="15" t="s">
        <v>175</v>
      </c>
    </row>
    <row r="17" spans="1:15" ht="26.25">
      <c r="A17" s="6" t="s">
        <v>16</v>
      </c>
      <c r="B17" s="12" t="s">
        <v>328</v>
      </c>
      <c r="C17" s="12" t="s">
        <v>207</v>
      </c>
      <c r="D17" s="12" t="s">
        <v>208</v>
      </c>
      <c r="E17" s="12" t="s">
        <v>209</v>
      </c>
      <c r="F17" s="13">
        <v>6</v>
      </c>
      <c r="G17" s="13">
        <v>1983</v>
      </c>
      <c r="H17" s="13">
        <v>6842</v>
      </c>
      <c r="I17" s="13" t="s">
        <v>210</v>
      </c>
      <c r="J17" s="14" t="s">
        <v>44</v>
      </c>
      <c r="K17" s="6" t="s">
        <v>503</v>
      </c>
      <c r="L17" s="15" t="s">
        <v>44</v>
      </c>
      <c r="M17" s="6" t="s">
        <v>503</v>
      </c>
      <c r="N17" s="15" t="s">
        <v>174</v>
      </c>
      <c r="O17" s="15" t="s">
        <v>175</v>
      </c>
    </row>
    <row r="18" spans="1:15" ht="26.25">
      <c r="A18" s="6" t="s">
        <v>17</v>
      </c>
      <c r="B18" s="12" t="s">
        <v>329</v>
      </c>
      <c r="C18" s="12" t="s">
        <v>176</v>
      </c>
      <c r="D18" s="16" t="s">
        <v>177</v>
      </c>
      <c r="E18" s="12" t="s">
        <v>172</v>
      </c>
      <c r="F18" s="13">
        <v>4</v>
      </c>
      <c r="G18" s="13">
        <v>1986</v>
      </c>
      <c r="H18" s="13" t="s">
        <v>211</v>
      </c>
      <c r="I18" s="13">
        <v>12435</v>
      </c>
      <c r="J18" s="14" t="s">
        <v>44</v>
      </c>
      <c r="K18" s="6" t="s">
        <v>506</v>
      </c>
      <c r="L18" s="15" t="s">
        <v>44</v>
      </c>
      <c r="M18" s="6" t="s">
        <v>506</v>
      </c>
      <c r="N18" s="15" t="s">
        <v>174</v>
      </c>
      <c r="O18" s="15" t="s">
        <v>174</v>
      </c>
    </row>
    <row r="19" spans="1:15" ht="26.25">
      <c r="A19" s="6" t="s">
        <v>18</v>
      </c>
      <c r="B19" s="12" t="s">
        <v>330</v>
      </c>
      <c r="C19" s="12" t="s">
        <v>212</v>
      </c>
      <c r="D19" s="12"/>
      <c r="E19" s="12" t="s">
        <v>213</v>
      </c>
      <c r="F19" s="13" t="s">
        <v>44</v>
      </c>
      <c r="G19" s="13">
        <v>1974</v>
      </c>
      <c r="H19" s="13">
        <v>200</v>
      </c>
      <c r="I19" s="13">
        <v>13440</v>
      </c>
      <c r="J19" s="14" t="s">
        <v>44</v>
      </c>
      <c r="K19" s="6" t="s">
        <v>503</v>
      </c>
      <c r="L19" s="15" t="s">
        <v>44</v>
      </c>
      <c r="M19" s="15" t="s">
        <v>44</v>
      </c>
      <c r="N19" s="15" t="s">
        <v>174</v>
      </c>
      <c r="O19" s="15" t="s">
        <v>175</v>
      </c>
    </row>
    <row r="20" spans="1:15" ht="26.25">
      <c r="A20" s="6" t="s">
        <v>19</v>
      </c>
      <c r="B20" s="12" t="s">
        <v>331</v>
      </c>
      <c r="C20" s="12" t="s">
        <v>207</v>
      </c>
      <c r="D20" s="12" t="s">
        <v>214</v>
      </c>
      <c r="E20" s="12" t="s">
        <v>172</v>
      </c>
      <c r="F20" s="13">
        <v>6</v>
      </c>
      <c r="G20" s="13">
        <v>1989</v>
      </c>
      <c r="H20" s="13" t="s">
        <v>215</v>
      </c>
      <c r="I20" s="13">
        <v>70614</v>
      </c>
      <c r="J20" s="9" t="s">
        <v>44</v>
      </c>
      <c r="K20" s="6" t="s">
        <v>503</v>
      </c>
      <c r="L20" s="6" t="s">
        <v>44</v>
      </c>
      <c r="M20" s="6" t="s">
        <v>503</v>
      </c>
      <c r="N20" s="6" t="s">
        <v>174</v>
      </c>
      <c r="O20" s="15" t="s">
        <v>175</v>
      </c>
    </row>
    <row r="21" spans="1:15" ht="26.25">
      <c r="A21" s="6" t="s">
        <v>20</v>
      </c>
      <c r="B21" s="12" t="s">
        <v>332</v>
      </c>
      <c r="C21" s="12" t="s">
        <v>216</v>
      </c>
      <c r="D21" s="12" t="s">
        <v>217</v>
      </c>
      <c r="E21" s="12" t="s">
        <v>218</v>
      </c>
      <c r="F21" s="13">
        <v>9</v>
      </c>
      <c r="G21" s="13">
        <v>1998</v>
      </c>
      <c r="H21" s="13" t="s">
        <v>219</v>
      </c>
      <c r="I21" s="13" t="s">
        <v>220</v>
      </c>
      <c r="J21" s="9" t="s">
        <v>44</v>
      </c>
      <c r="K21" s="6" t="s">
        <v>503</v>
      </c>
      <c r="L21" s="6" t="s">
        <v>44</v>
      </c>
      <c r="M21" s="6" t="s">
        <v>503</v>
      </c>
      <c r="N21" s="6" t="s">
        <v>174</v>
      </c>
      <c r="O21" s="15" t="s">
        <v>175</v>
      </c>
    </row>
    <row r="22" spans="1:15" ht="26.25">
      <c r="A22" s="6" t="s">
        <v>21</v>
      </c>
      <c r="B22" s="12" t="s">
        <v>333</v>
      </c>
      <c r="C22" s="12" t="s">
        <v>170</v>
      </c>
      <c r="D22" s="12" t="s">
        <v>221</v>
      </c>
      <c r="E22" s="12" t="s">
        <v>172</v>
      </c>
      <c r="F22" s="13">
        <v>6</v>
      </c>
      <c r="G22" s="13">
        <v>2013</v>
      </c>
      <c r="H22" s="13">
        <v>6374</v>
      </c>
      <c r="I22" s="13" t="s">
        <v>222</v>
      </c>
      <c r="J22" s="14">
        <v>286500</v>
      </c>
      <c r="K22" s="6" t="s">
        <v>507</v>
      </c>
      <c r="L22" s="6" t="s">
        <v>507</v>
      </c>
      <c r="M22" s="6" t="s">
        <v>507</v>
      </c>
      <c r="N22" s="15" t="s">
        <v>174</v>
      </c>
      <c r="O22" s="15" t="s">
        <v>174</v>
      </c>
    </row>
    <row r="23" spans="1:15" ht="26.25">
      <c r="A23" s="6" t="s">
        <v>22</v>
      </c>
      <c r="B23" s="12" t="s">
        <v>334</v>
      </c>
      <c r="C23" s="12" t="s">
        <v>179</v>
      </c>
      <c r="D23" s="12" t="s">
        <v>223</v>
      </c>
      <c r="E23" s="12" t="s">
        <v>172</v>
      </c>
      <c r="F23" s="13">
        <v>9</v>
      </c>
      <c r="G23" s="13">
        <v>1975</v>
      </c>
      <c r="H23" s="13" t="s">
        <v>224</v>
      </c>
      <c r="I23" s="17">
        <v>30905011182551</v>
      </c>
      <c r="J23" s="9" t="s">
        <v>44</v>
      </c>
      <c r="K23" s="6" t="s">
        <v>503</v>
      </c>
      <c r="L23" s="6" t="s">
        <v>44</v>
      </c>
      <c r="M23" s="6" t="s">
        <v>503</v>
      </c>
      <c r="N23" s="6" t="s">
        <v>174</v>
      </c>
      <c r="O23" s="15" t="s">
        <v>225</v>
      </c>
    </row>
    <row r="24" spans="1:15" ht="26.25">
      <c r="A24" s="6" t="s">
        <v>66</v>
      </c>
      <c r="B24" s="12" t="s">
        <v>335</v>
      </c>
      <c r="C24" s="12" t="s">
        <v>170</v>
      </c>
      <c r="D24" s="16" t="s">
        <v>226</v>
      </c>
      <c r="E24" s="12" t="s">
        <v>209</v>
      </c>
      <c r="F24" s="13">
        <v>9</v>
      </c>
      <c r="G24" s="13">
        <v>1978</v>
      </c>
      <c r="H24" s="13" t="s">
        <v>227</v>
      </c>
      <c r="I24" s="17">
        <v>30905010331912</v>
      </c>
      <c r="J24" s="14" t="s">
        <v>44</v>
      </c>
      <c r="K24" s="6" t="s">
        <v>503</v>
      </c>
      <c r="L24" s="18" t="s">
        <v>44</v>
      </c>
      <c r="M24" s="19" t="s">
        <v>503</v>
      </c>
      <c r="N24" s="18" t="s">
        <v>174</v>
      </c>
      <c r="O24" s="18" t="s">
        <v>175</v>
      </c>
    </row>
    <row r="25" spans="1:15" ht="40.5" customHeight="1">
      <c r="A25" s="6" t="s">
        <v>23</v>
      </c>
      <c r="B25" s="20" t="s">
        <v>336</v>
      </c>
      <c r="C25" s="20" t="s">
        <v>270</v>
      </c>
      <c r="D25" s="20" t="s">
        <v>271</v>
      </c>
      <c r="E25" s="20" t="s">
        <v>172</v>
      </c>
      <c r="F25" s="21">
        <v>8</v>
      </c>
      <c r="G25" s="21">
        <v>1993</v>
      </c>
      <c r="H25" s="22">
        <v>6174</v>
      </c>
      <c r="I25" s="22" t="s">
        <v>272</v>
      </c>
      <c r="J25" s="23" t="s">
        <v>44</v>
      </c>
      <c r="K25" s="24" t="s">
        <v>508</v>
      </c>
      <c r="L25" s="18" t="s">
        <v>44</v>
      </c>
      <c r="M25" s="24" t="s">
        <v>508</v>
      </c>
      <c r="N25" s="18" t="s">
        <v>174</v>
      </c>
      <c r="O25" s="25" t="s">
        <v>273</v>
      </c>
    </row>
    <row r="26" spans="1:15" ht="39">
      <c r="A26" s="6" t="s">
        <v>24</v>
      </c>
      <c r="B26" s="20" t="s">
        <v>337</v>
      </c>
      <c r="C26" s="20" t="s">
        <v>270</v>
      </c>
      <c r="D26" s="20" t="s">
        <v>274</v>
      </c>
      <c r="E26" s="20" t="s">
        <v>172</v>
      </c>
      <c r="F26" s="21">
        <v>6</v>
      </c>
      <c r="G26" s="21">
        <v>2018</v>
      </c>
      <c r="H26" s="21">
        <v>7698</v>
      </c>
      <c r="I26" s="22" t="s">
        <v>275</v>
      </c>
      <c r="J26" s="26">
        <v>607800</v>
      </c>
      <c r="K26" s="24" t="s">
        <v>509</v>
      </c>
      <c r="L26" s="24" t="s">
        <v>510</v>
      </c>
      <c r="M26" s="24" t="s">
        <v>511</v>
      </c>
      <c r="N26" s="24" t="s">
        <v>276</v>
      </c>
      <c r="O26" s="24" t="s">
        <v>277</v>
      </c>
    </row>
    <row r="27" spans="1:15" ht="26.25">
      <c r="A27" s="6" t="s">
        <v>235</v>
      </c>
      <c r="B27" s="12" t="s">
        <v>338</v>
      </c>
      <c r="C27" s="12" t="s">
        <v>287</v>
      </c>
      <c r="D27" s="29" t="s">
        <v>288</v>
      </c>
      <c r="E27" s="12" t="s">
        <v>538</v>
      </c>
      <c r="F27" s="22">
        <v>9</v>
      </c>
      <c r="G27" s="22">
        <v>2001</v>
      </c>
      <c r="H27" s="22">
        <v>2665</v>
      </c>
      <c r="I27" s="22" t="s">
        <v>537</v>
      </c>
      <c r="J27" s="23">
        <v>3565</v>
      </c>
      <c r="K27" s="25" t="s">
        <v>539</v>
      </c>
      <c r="L27" s="25" t="s">
        <v>539</v>
      </c>
      <c r="M27" s="25" t="s">
        <v>539</v>
      </c>
      <c r="N27" s="24" t="s">
        <v>276</v>
      </c>
      <c r="O27" s="25" t="s">
        <v>290</v>
      </c>
    </row>
    <row r="28" spans="1:15" ht="26.25">
      <c r="A28" s="6" t="s">
        <v>25</v>
      </c>
      <c r="B28" s="20" t="s">
        <v>339</v>
      </c>
      <c r="C28" s="20" t="s">
        <v>340</v>
      </c>
      <c r="D28" s="22" t="s">
        <v>198</v>
      </c>
      <c r="E28" s="21" t="s">
        <v>172</v>
      </c>
      <c r="F28" s="21">
        <v>4</v>
      </c>
      <c r="G28" s="21">
        <v>1994</v>
      </c>
      <c r="H28" s="21">
        <v>6842</v>
      </c>
      <c r="I28" s="21">
        <v>12459</v>
      </c>
      <c r="J28" s="23" t="s">
        <v>44</v>
      </c>
      <c r="K28" s="24" t="s">
        <v>512</v>
      </c>
      <c r="L28" s="28"/>
      <c r="M28" s="25" t="s">
        <v>512</v>
      </c>
      <c r="N28" s="24" t="s">
        <v>276</v>
      </c>
      <c r="O28" s="28" t="s">
        <v>352</v>
      </c>
    </row>
    <row r="29" spans="1:15" ht="26.25">
      <c r="A29" s="6" t="s">
        <v>26</v>
      </c>
      <c r="B29" s="20" t="s">
        <v>341</v>
      </c>
      <c r="C29" s="20" t="s">
        <v>342</v>
      </c>
      <c r="D29" s="22" t="s">
        <v>343</v>
      </c>
      <c r="E29" s="21" t="s">
        <v>172</v>
      </c>
      <c r="F29" s="21">
        <v>2</v>
      </c>
      <c r="G29" s="21">
        <v>2000</v>
      </c>
      <c r="H29" s="21">
        <v>12130</v>
      </c>
      <c r="I29" s="22" t="s">
        <v>344</v>
      </c>
      <c r="J29" s="23" t="s">
        <v>44</v>
      </c>
      <c r="K29" s="24" t="s">
        <v>513</v>
      </c>
      <c r="L29" s="28"/>
      <c r="M29" s="24" t="s">
        <v>513</v>
      </c>
      <c r="N29" s="24" t="s">
        <v>276</v>
      </c>
      <c r="O29" s="28" t="s">
        <v>352</v>
      </c>
    </row>
    <row r="30" spans="1:15" ht="26.25">
      <c r="A30" s="6" t="s">
        <v>27</v>
      </c>
      <c r="B30" s="29" t="s">
        <v>437</v>
      </c>
      <c r="C30" s="29" t="s">
        <v>188</v>
      </c>
      <c r="D30" s="29" t="s">
        <v>345</v>
      </c>
      <c r="E30" s="29" t="s">
        <v>289</v>
      </c>
      <c r="F30" s="22">
        <v>5</v>
      </c>
      <c r="G30" s="22">
        <v>2008</v>
      </c>
      <c r="H30" s="22">
        <v>1753</v>
      </c>
      <c r="I30" s="22" t="s">
        <v>346</v>
      </c>
      <c r="J30" s="23" t="s">
        <v>44</v>
      </c>
      <c r="K30" s="25" t="s">
        <v>514</v>
      </c>
      <c r="L30" s="28"/>
      <c r="M30" s="25" t="s">
        <v>514</v>
      </c>
      <c r="N30" s="24" t="s">
        <v>276</v>
      </c>
      <c r="O30" s="28" t="s">
        <v>353</v>
      </c>
    </row>
    <row r="31" spans="1:15" ht="26.25">
      <c r="A31" s="6" t="s">
        <v>28</v>
      </c>
      <c r="B31" s="29" t="s">
        <v>347</v>
      </c>
      <c r="C31" s="29" t="s">
        <v>342</v>
      </c>
      <c r="D31" s="22" t="s">
        <v>348</v>
      </c>
      <c r="E31" s="22" t="s">
        <v>349</v>
      </c>
      <c r="F31" s="22">
        <v>6</v>
      </c>
      <c r="G31" s="22">
        <v>2019</v>
      </c>
      <c r="H31" s="22" t="s">
        <v>350</v>
      </c>
      <c r="I31" s="22" t="s">
        <v>351</v>
      </c>
      <c r="J31" s="23">
        <v>789906</v>
      </c>
      <c r="K31" s="25" t="s">
        <v>515</v>
      </c>
      <c r="L31" s="25" t="s">
        <v>515</v>
      </c>
      <c r="M31" s="25" t="s">
        <v>515</v>
      </c>
      <c r="N31" s="24" t="s">
        <v>276</v>
      </c>
      <c r="O31" s="30" t="s">
        <v>354</v>
      </c>
    </row>
    <row r="32" spans="1:15" ht="26.25">
      <c r="A32" s="6" t="s">
        <v>29</v>
      </c>
      <c r="B32" s="20" t="s">
        <v>438</v>
      </c>
      <c r="C32" s="20" t="s">
        <v>439</v>
      </c>
      <c r="D32" s="29" t="s">
        <v>440</v>
      </c>
      <c r="E32" s="29" t="s">
        <v>349</v>
      </c>
      <c r="F32" s="21">
        <v>6</v>
      </c>
      <c r="G32" s="21">
        <v>2020</v>
      </c>
      <c r="H32" s="21">
        <v>6871</v>
      </c>
      <c r="I32" s="13" t="s">
        <v>441</v>
      </c>
      <c r="J32" s="31">
        <v>799500</v>
      </c>
      <c r="K32" s="24" t="s">
        <v>516</v>
      </c>
      <c r="L32" s="24" t="s">
        <v>516</v>
      </c>
      <c r="M32" s="24" t="s">
        <v>516</v>
      </c>
      <c r="N32" s="24" t="s">
        <v>276</v>
      </c>
      <c r="O32" s="32" t="s">
        <v>444</v>
      </c>
    </row>
    <row r="33" spans="1:15" ht="26.25">
      <c r="A33" s="6" t="s">
        <v>30</v>
      </c>
      <c r="B33" s="20" t="s">
        <v>442</v>
      </c>
      <c r="C33" s="20" t="s">
        <v>185</v>
      </c>
      <c r="D33" s="29">
        <v>307</v>
      </c>
      <c r="E33" s="12" t="s">
        <v>289</v>
      </c>
      <c r="F33" s="21">
        <v>5</v>
      </c>
      <c r="G33" s="21">
        <v>2007</v>
      </c>
      <c r="H33" s="21">
        <v>1560</v>
      </c>
      <c r="I33" s="13" t="s">
        <v>443</v>
      </c>
      <c r="J33" s="33" t="s">
        <v>44</v>
      </c>
      <c r="K33" s="24" t="s">
        <v>517</v>
      </c>
      <c r="L33" s="28"/>
      <c r="M33" s="25" t="s">
        <v>517</v>
      </c>
      <c r="N33" s="24" t="s">
        <v>276</v>
      </c>
      <c r="O33" s="24" t="s">
        <v>276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140625" style="0" customWidth="1"/>
    <col min="3" max="3" width="14.28125" style="0" customWidth="1"/>
    <col min="5" max="5" width="14.57421875" style="0" customWidth="1"/>
    <col min="7" max="7" width="13.8515625" style="0" customWidth="1"/>
    <col min="9" max="9" width="13.7109375" style="0" customWidth="1"/>
  </cols>
  <sheetData>
    <row r="1" s="5" customFormat="1" ht="15">
      <c r="A1" s="97" t="s">
        <v>533</v>
      </c>
    </row>
    <row r="2" s="5" customFormat="1" ht="12.75"/>
    <row r="3" spans="1:9" s="5" customFormat="1" ht="12.75">
      <c r="A3" s="114" t="s">
        <v>518</v>
      </c>
      <c r="B3" s="114"/>
      <c r="C3" s="114"/>
      <c r="D3" s="114"/>
      <c r="E3" s="114"/>
      <c r="F3" s="114"/>
      <c r="G3" s="114"/>
      <c r="H3" s="114"/>
      <c r="I3" s="114"/>
    </row>
    <row r="4" s="5" customFormat="1" ht="13.5" thickBot="1"/>
    <row r="5" spans="1:9" s="5" customFormat="1" ht="12.75">
      <c r="A5" s="115" t="s">
        <v>519</v>
      </c>
      <c r="B5" s="117">
        <v>2017</v>
      </c>
      <c r="C5" s="117"/>
      <c r="D5" s="118">
        <v>2018</v>
      </c>
      <c r="E5" s="118"/>
      <c r="F5" s="118">
        <v>2019</v>
      </c>
      <c r="G5" s="118"/>
      <c r="H5" s="118">
        <v>2020</v>
      </c>
      <c r="I5" s="119"/>
    </row>
    <row r="6" spans="1:9" s="5" customFormat="1" ht="22.5">
      <c r="A6" s="116"/>
      <c r="B6" s="109" t="s">
        <v>520</v>
      </c>
      <c r="C6" s="110" t="s">
        <v>521</v>
      </c>
      <c r="D6" s="109" t="s">
        <v>520</v>
      </c>
      <c r="E6" s="110" t="s">
        <v>521</v>
      </c>
      <c r="F6" s="109" t="s">
        <v>520</v>
      </c>
      <c r="G6" s="110" t="s">
        <v>521</v>
      </c>
      <c r="H6" s="109" t="s">
        <v>520</v>
      </c>
      <c r="I6" s="111" t="s">
        <v>521</v>
      </c>
    </row>
    <row r="7" spans="1:9" s="5" customFormat="1" ht="12.75">
      <c r="A7" s="99" t="s">
        <v>522</v>
      </c>
      <c r="B7" s="100">
        <v>1</v>
      </c>
      <c r="C7" s="101" t="s">
        <v>535</v>
      </c>
      <c r="D7" s="100">
        <f>1+2</f>
        <v>3</v>
      </c>
      <c r="E7" s="101">
        <f>990.46+2400</f>
        <v>3390.46</v>
      </c>
      <c r="F7" s="100" t="s">
        <v>44</v>
      </c>
      <c r="G7" s="101" t="s">
        <v>44</v>
      </c>
      <c r="H7" s="100">
        <v>2</v>
      </c>
      <c r="I7" s="102">
        <v>10610.61</v>
      </c>
    </row>
    <row r="8" spans="1:9" s="5" customFormat="1" ht="12.75">
      <c r="A8" s="103" t="s">
        <v>523</v>
      </c>
      <c r="B8" s="100" t="s">
        <v>44</v>
      </c>
      <c r="C8" s="101" t="s">
        <v>44</v>
      </c>
      <c r="D8" s="100" t="s">
        <v>44</v>
      </c>
      <c r="E8" s="101" t="s">
        <v>44</v>
      </c>
      <c r="F8" s="1" t="s">
        <v>44</v>
      </c>
      <c r="G8" s="1" t="s">
        <v>44</v>
      </c>
      <c r="H8" s="1" t="s">
        <v>44</v>
      </c>
      <c r="I8" s="104" t="s">
        <v>44</v>
      </c>
    </row>
    <row r="9" spans="1:9" s="5" customFormat="1" ht="12.75">
      <c r="A9" s="103" t="s">
        <v>524</v>
      </c>
      <c r="B9" s="100">
        <v>5</v>
      </c>
      <c r="C9" s="101">
        <v>379.15</v>
      </c>
      <c r="D9" s="100">
        <v>2</v>
      </c>
      <c r="E9" s="101">
        <v>962.64</v>
      </c>
      <c r="F9" s="100">
        <v>1</v>
      </c>
      <c r="G9" s="101">
        <v>0</v>
      </c>
      <c r="H9" s="100">
        <v>2</v>
      </c>
      <c r="I9" s="102">
        <v>1984.55</v>
      </c>
    </row>
    <row r="10" spans="1:9" s="5" customFormat="1" ht="12.75">
      <c r="A10" s="103" t="s">
        <v>525</v>
      </c>
      <c r="B10" s="100">
        <v>8</v>
      </c>
      <c r="C10" s="101" t="s">
        <v>536</v>
      </c>
      <c r="D10" s="100" t="s">
        <v>44</v>
      </c>
      <c r="E10" s="101" t="s">
        <v>44</v>
      </c>
      <c r="F10" s="100">
        <v>1</v>
      </c>
      <c r="G10" s="101">
        <v>800</v>
      </c>
      <c r="H10" s="100">
        <v>1</v>
      </c>
      <c r="I10" s="102">
        <v>800</v>
      </c>
    </row>
    <row r="11" spans="1:9" s="5" customFormat="1" ht="12.75">
      <c r="A11" s="103" t="s">
        <v>526</v>
      </c>
      <c r="B11" s="100" t="s">
        <v>44</v>
      </c>
      <c r="C11" s="101" t="s">
        <v>44</v>
      </c>
      <c r="D11" s="100" t="s">
        <v>44</v>
      </c>
      <c r="E11" s="101" t="s">
        <v>44</v>
      </c>
      <c r="F11" s="100" t="s">
        <v>44</v>
      </c>
      <c r="G11" s="101" t="s">
        <v>44</v>
      </c>
      <c r="H11" s="100" t="s">
        <v>44</v>
      </c>
      <c r="I11" s="102" t="s">
        <v>44</v>
      </c>
    </row>
    <row r="12" spans="1:9" s="5" customFormat="1" ht="12.75">
      <c r="A12" s="103" t="s">
        <v>527</v>
      </c>
      <c r="B12" s="100" t="s">
        <v>44</v>
      </c>
      <c r="C12" s="101" t="s">
        <v>44</v>
      </c>
      <c r="D12" s="100" t="s">
        <v>44</v>
      </c>
      <c r="E12" s="101" t="s">
        <v>44</v>
      </c>
      <c r="F12" s="100" t="s">
        <v>44</v>
      </c>
      <c r="G12" s="101" t="s">
        <v>44</v>
      </c>
      <c r="H12" s="100" t="s">
        <v>44</v>
      </c>
      <c r="I12" s="102" t="s">
        <v>44</v>
      </c>
    </row>
    <row r="13" spans="1:9" s="5" customFormat="1" ht="12.75">
      <c r="A13" s="103" t="s">
        <v>528</v>
      </c>
      <c r="B13" s="100" t="s">
        <v>44</v>
      </c>
      <c r="C13" s="101" t="s">
        <v>44</v>
      </c>
      <c r="D13" s="100" t="s">
        <v>44</v>
      </c>
      <c r="E13" s="101" t="s">
        <v>44</v>
      </c>
      <c r="F13" s="100" t="s">
        <v>44</v>
      </c>
      <c r="G13" s="101" t="s">
        <v>44</v>
      </c>
      <c r="H13" s="100" t="s">
        <v>44</v>
      </c>
      <c r="I13" s="102" t="s">
        <v>44</v>
      </c>
    </row>
    <row r="14" spans="1:9" s="5" customFormat="1" ht="12.75">
      <c r="A14" s="103" t="s">
        <v>529</v>
      </c>
      <c r="B14" s="100" t="s">
        <v>44</v>
      </c>
      <c r="C14" s="101" t="s">
        <v>44</v>
      </c>
      <c r="D14" s="100" t="s">
        <v>44</v>
      </c>
      <c r="E14" s="101" t="s">
        <v>44</v>
      </c>
      <c r="F14" s="100" t="s">
        <v>44</v>
      </c>
      <c r="G14" s="101" t="s">
        <v>44</v>
      </c>
      <c r="H14" s="100" t="s">
        <v>44</v>
      </c>
      <c r="I14" s="102" t="s">
        <v>44</v>
      </c>
    </row>
    <row r="15" spans="1:9" s="5" customFormat="1" ht="13.5" thickBot="1">
      <c r="A15" s="105" t="s">
        <v>315</v>
      </c>
      <c r="B15" s="106">
        <f>SUM(B7:B14)</f>
        <v>14</v>
      </c>
      <c r="C15" s="107">
        <f aca="true" t="shared" si="0" ref="C15:I15">SUM(C7:C14)</f>
        <v>379.15</v>
      </c>
      <c r="D15" s="106">
        <f t="shared" si="0"/>
        <v>5</v>
      </c>
      <c r="E15" s="107">
        <f t="shared" si="0"/>
        <v>4353.1</v>
      </c>
      <c r="F15" s="106">
        <f t="shared" si="0"/>
        <v>2</v>
      </c>
      <c r="G15" s="107">
        <f t="shared" si="0"/>
        <v>800</v>
      </c>
      <c r="H15" s="106">
        <f t="shared" si="0"/>
        <v>5</v>
      </c>
      <c r="I15" s="108">
        <f t="shared" si="0"/>
        <v>13395.16</v>
      </c>
    </row>
    <row r="16" s="5" customFormat="1" ht="12.75"/>
    <row r="17" spans="1:2" s="5" customFormat="1" ht="12.75">
      <c r="A17" s="98" t="s">
        <v>530</v>
      </c>
      <c r="B17" s="34" t="s">
        <v>531</v>
      </c>
    </row>
    <row r="18" s="5" customFormat="1" ht="12.75"/>
    <row r="19" spans="1:2" s="5" customFormat="1" ht="12.75">
      <c r="A19" s="34" t="s">
        <v>532</v>
      </c>
      <c r="B19" s="34" t="s">
        <v>534</v>
      </c>
    </row>
  </sheetData>
  <sheetProtection/>
  <mergeCells count="6">
    <mergeCell ref="A3:I3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Interbroker</dc:creator>
  <cp:keywords/>
  <dc:description/>
  <cp:lastModifiedBy>RafalC</cp:lastModifiedBy>
  <cp:lastPrinted>2016-11-24T13:49:13Z</cp:lastPrinted>
  <dcterms:created xsi:type="dcterms:W3CDTF">2012-06-19T12:26:12Z</dcterms:created>
  <dcterms:modified xsi:type="dcterms:W3CDTF">2020-10-28T10:46:08Z</dcterms:modified>
  <cp:category/>
  <cp:version/>
  <cp:contentType/>
  <cp:contentStatus/>
</cp:coreProperties>
</file>